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022"/>
  <workbookPr date1904="1" showInkAnnotation="0" autoCompressPictures="0"/>
  <bookViews>
    <workbookView xWindow="0" yWindow="0" windowWidth="33520" windowHeight="20540" tabRatio="688" activeTab="2"/>
  </bookViews>
  <sheets>
    <sheet name="JPods Summary" sheetId="8" r:id="rId1"/>
    <sheet name="CashFlow" sheetId="1" r:id="rId2"/>
    <sheet name="P&amp;L" sheetId="2" r:id="rId3"/>
    <sheet name="Balance" sheetId="3" r:id="rId4"/>
    <sheet name="System" sheetId="4" r:id="rId5"/>
    <sheet name="Truss" sheetId="7" r:id="rId6"/>
    <sheet name="PowrRail" sheetId="6" r:id="rId7"/>
    <sheet name="Footings" sheetId="5" r:id="rId8"/>
    <sheet name="Value of LMC" sheetId="10" r:id="rId9"/>
  </sheets>
  <definedNames>
    <definedName name="_xlnm.Print_Area" localSheetId="3">Balance!$A$1:$H$55</definedName>
    <definedName name="_xlnm.Print_Area" localSheetId="1">CashFlow!$A$1:$S$116</definedName>
    <definedName name="_xlnm.Print_Area" localSheetId="2">'P&amp;L'!$R$3:$X$63</definedName>
    <definedName name="_xlnm.Print_Area" localSheetId="8">'Value of LMC'!$M$8:$W$49</definedName>
  </definedNames>
  <calcPr calcId="140001" iterate="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47" i="2" l="1"/>
  <c r="T47" i="2"/>
  <c r="T57" i="2"/>
  <c r="K6" i="3"/>
  <c r="K4" i="3"/>
  <c r="K13" i="3"/>
  <c r="J17" i="3"/>
  <c r="K17" i="3"/>
  <c r="K19" i="3"/>
  <c r="D51" i="3"/>
  <c r="E50" i="3"/>
  <c r="T53" i="2"/>
  <c r="U47" i="2"/>
  <c r="U57" i="2"/>
  <c r="L6" i="3"/>
  <c r="L4" i="3"/>
  <c r="L26" i="3"/>
  <c r="L27" i="3"/>
  <c r="L13" i="3"/>
  <c r="L17" i="3"/>
  <c r="L19" i="3"/>
  <c r="E51" i="3"/>
  <c r="C61" i="3"/>
  <c r="C49" i="3"/>
  <c r="D49" i="3"/>
  <c r="E49" i="3"/>
  <c r="E53" i="3"/>
  <c r="F50" i="3"/>
  <c r="U53" i="2"/>
  <c r="V47" i="2"/>
  <c r="V57" i="2"/>
  <c r="M6" i="3"/>
  <c r="M4" i="3"/>
  <c r="M26" i="3"/>
  <c r="M27" i="3"/>
  <c r="M13" i="3"/>
  <c r="M17" i="3"/>
  <c r="M19" i="3"/>
  <c r="F51" i="3"/>
  <c r="F49" i="3"/>
  <c r="F53" i="3"/>
  <c r="G50" i="3"/>
  <c r="V53" i="2"/>
  <c r="W47" i="2"/>
  <c r="W57" i="2"/>
  <c r="N6" i="3"/>
  <c r="N4" i="3"/>
  <c r="N26" i="3"/>
  <c r="N27" i="3"/>
  <c r="N13" i="3"/>
  <c r="N17" i="3"/>
  <c r="N19" i="3"/>
  <c r="G51" i="3"/>
  <c r="G49" i="3"/>
  <c r="G53" i="3"/>
  <c r="H50" i="3"/>
  <c r="W53" i="2"/>
  <c r="X47" i="2"/>
  <c r="X57" i="2"/>
  <c r="O6" i="3"/>
  <c r="O4" i="3"/>
  <c r="O26" i="3"/>
  <c r="O27" i="3"/>
  <c r="O13" i="3"/>
  <c r="O17" i="3"/>
  <c r="O19" i="3"/>
  <c r="H51" i="3"/>
  <c r="H49" i="3"/>
  <c r="H53" i="3"/>
  <c r="D53" i="3"/>
  <c r="D7" i="3"/>
  <c r="E7" i="3"/>
  <c r="F7" i="3"/>
  <c r="G7" i="3"/>
  <c r="H7" i="3"/>
  <c r="D5" i="3"/>
  <c r="E5" i="3"/>
  <c r="F5" i="3"/>
  <c r="G5" i="3"/>
  <c r="H5" i="3"/>
  <c r="E9" i="3"/>
  <c r="E6" i="3"/>
  <c r="E10" i="3"/>
  <c r="E15" i="3"/>
  <c r="D16" i="3"/>
  <c r="E16" i="3"/>
  <c r="E18" i="3"/>
  <c r="K26" i="3"/>
  <c r="D22" i="3"/>
  <c r="E22" i="3"/>
  <c r="K27" i="3"/>
  <c r="D23" i="3"/>
  <c r="E23" i="3"/>
  <c r="K28" i="3"/>
  <c r="D24" i="3"/>
  <c r="L28" i="3"/>
  <c r="E24" i="3"/>
  <c r="F9" i="3"/>
  <c r="F6" i="3"/>
  <c r="F10" i="3"/>
  <c r="F15" i="3"/>
  <c r="F16" i="3"/>
  <c r="F18" i="3"/>
  <c r="F22" i="3"/>
  <c r="F23" i="3"/>
  <c r="M28" i="3"/>
  <c r="F24" i="3"/>
  <c r="G9" i="3"/>
  <c r="G6" i="3"/>
  <c r="G10" i="3"/>
  <c r="G15" i="3"/>
  <c r="G16" i="3"/>
  <c r="G18" i="3"/>
  <c r="G22" i="3"/>
  <c r="G23" i="3"/>
  <c r="N28" i="3"/>
  <c r="G24" i="3"/>
  <c r="H9" i="3"/>
  <c r="H6" i="3"/>
  <c r="H10" i="3"/>
  <c r="X53" i="2"/>
  <c r="H15" i="3"/>
  <c r="H16" i="3"/>
  <c r="H18" i="3"/>
  <c r="H22" i="3"/>
  <c r="H23" i="3"/>
  <c r="O28" i="3"/>
  <c r="H24" i="3"/>
  <c r="D9" i="3"/>
  <c r="D6" i="3"/>
  <c r="D10" i="3"/>
  <c r="D15" i="3"/>
  <c r="D18" i="3"/>
  <c r="V45" i="2"/>
  <c r="W45" i="2"/>
  <c r="X45" i="2"/>
  <c r="U45" i="2"/>
  <c r="T45" i="2"/>
  <c r="S45" i="2"/>
  <c r="P45" i="2"/>
  <c r="E45" i="2"/>
  <c r="F45" i="2"/>
  <c r="G45" i="2"/>
  <c r="H45" i="2"/>
  <c r="I45" i="2"/>
  <c r="J45" i="2"/>
  <c r="K45" i="2"/>
  <c r="L45" i="2"/>
  <c r="M45" i="2"/>
  <c r="N45" i="2"/>
  <c r="O45" i="2"/>
  <c r="D45" i="2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J27" i="3"/>
  <c r="J26" i="3"/>
  <c r="V43" i="2"/>
  <c r="W43" i="2"/>
  <c r="X43" i="2"/>
  <c r="V44" i="2"/>
  <c r="W44" i="2"/>
  <c r="X44" i="2"/>
  <c r="U44" i="2"/>
  <c r="U43" i="2"/>
  <c r="T44" i="2"/>
  <c r="T43" i="2"/>
  <c r="S44" i="2"/>
  <c r="S43" i="2"/>
  <c r="P44" i="2"/>
  <c r="P43" i="2"/>
  <c r="E43" i="2"/>
  <c r="F43" i="2"/>
  <c r="G43" i="2"/>
  <c r="H43" i="2"/>
  <c r="I43" i="2"/>
  <c r="J43" i="2"/>
  <c r="K43" i="2"/>
  <c r="L43" i="2"/>
  <c r="M43" i="2"/>
  <c r="N43" i="2"/>
  <c r="O43" i="2"/>
  <c r="E44" i="2"/>
  <c r="F44" i="2"/>
  <c r="G44" i="2"/>
  <c r="H44" i="2"/>
  <c r="I44" i="2"/>
  <c r="J44" i="2"/>
  <c r="K44" i="2"/>
  <c r="L44" i="2"/>
  <c r="M44" i="2"/>
  <c r="N44" i="2"/>
  <c r="O44" i="2"/>
  <c r="D44" i="2"/>
  <c r="D43" i="2"/>
  <c r="B44" i="2"/>
  <c r="B43" i="2"/>
  <c r="S72" i="1"/>
  <c r="S71" i="1"/>
  <c r="H71" i="1"/>
  <c r="I71" i="1"/>
  <c r="J71" i="1"/>
  <c r="K71" i="1"/>
  <c r="L71" i="1"/>
  <c r="M71" i="1"/>
  <c r="N71" i="1"/>
  <c r="O71" i="1"/>
  <c r="P71" i="1"/>
  <c r="Q71" i="1"/>
  <c r="R71" i="1"/>
  <c r="H72" i="1"/>
  <c r="I72" i="1"/>
  <c r="J72" i="1"/>
  <c r="K72" i="1"/>
  <c r="L72" i="1"/>
  <c r="M72" i="1"/>
  <c r="N72" i="1"/>
  <c r="O72" i="1"/>
  <c r="P72" i="1"/>
  <c r="Q72" i="1"/>
  <c r="R72" i="1"/>
  <c r="G72" i="1"/>
  <c r="G71" i="1"/>
  <c r="D131" i="1"/>
  <c r="D134" i="1"/>
  <c r="D133" i="1"/>
  <c r="D59" i="1"/>
  <c r="G59" i="1"/>
  <c r="G60" i="1"/>
  <c r="D7" i="2"/>
  <c r="H59" i="1"/>
  <c r="H60" i="1"/>
  <c r="E7" i="2"/>
  <c r="I59" i="1"/>
  <c r="I60" i="1"/>
  <c r="F7" i="2"/>
  <c r="J59" i="1"/>
  <c r="J60" i="1"/>
  <c r="G7" i="2"/>
  <c r="K59" i="1"/>
  <c r="K60" i="1"/>
  <c r="H7" i="2"/>
  <c r="L59" i="1"/>
  <c r="L60" i="1"/>
  <c r="I7" i="2"/>
  <c r="M59" i="1"/>
  <c r="M60" i="1"/>
  <c r="J7" i="2"/>
  <c r="N59" i="1"/>
  <c r="N60" i="1"/>
  <c r="K7" i="2"/>
  <c r="O59" i="1"/>
  <c r="O60" i="1"/>
  <c r="L7" i="2"/>
  <c r="P59" i="1"/>
  <c r="P60" i="1"/>
  <c r="M7" i="2"/>
  <c r="Q59" i="1"/>
  <c r="Q60" i="1"/>
  <c r="N7" i="2"/>
  <c r="R59" i="1"/>
  <c r="R60" i="1"/>
  <c r="O7" i="2"/>
  <c r="P7" i="2"/>
  <c r="T7" i="2"/>
  <c r="D75" i="1"/>
  <c r="G75" i="1"/>
  <c r="G76" i="1"/>
  <c r="D8" i="2"/>
  <c r="H75" i="1"/>
  <c r="H76" i="1"/>
  <c r="E8" i="2"/>
  <c r="I75" i="1"/>
  <c r="I76" i="1"/>
  <c r="F8" i="2"/>
  <c r="J75" i="1"/>
  <c r="J76" i="1"/>
  <c r="G8" i="2"/>
  <c r="K75" i="1"/>
  <c r="K76" i="1"/>
  <c r="H8" i="2"/>
  <c r="L75" i="1"/>
  <c r="L76" i="1"/>
  <c r="I8" i="2"/>
  <c r="M75" i="1"/>
  <c r="M76" i="1"/>
  <c r="J8" i="2"/>
  <c r="N75" i="1"/>
  <c r="N76" i="1"/>
  <c r="K8" i="2"/>
  <c r="O75" i="1"/>
  <c r="O76" i="1"/>
  <c r="L8" i="2"/>
  <c r="P75" i="1"/>
  <c r="P76" i="1"/>
  <c r="M8" i="2"/>
  <c r="Q75" i="1"/>
  <c r="Q76" i="1"/>
  <c r="N8" i="2"/>
  <c r="R75" i="1"/>
  <c r="R76" i="1"/>
  <c r="O8" i="2"/>
  <c r="P8" i="2"/>
  <c r="T8" i="2"/>
  <c r="D82" i="1"/>
  <c r="G83" i="1"/>
  <c r="D9" i="2"/>
  <c r="H83" i="1"/>
  <c r="E9" i="2"/>
  <c r="I83" i="1"/>
  <c r="F9" i="2"/>
  <c r="J83" i="1"/>
  <c r="G9" i="2"/>
  <c r="K83" i="1"/>
  <c r="H9" i="2"/>
  <c r="L83" i="1"/>
  <c r="I9" i="2"/>
  <c r="M83" i="1"/>
  <c r="J9" i="2"/>
  <c r="N83" i="1"/>
  <c r="K9" i="2"/>
  <c r="O83" i="1"/>
  <c r="L9" i="2"/>
  <c r="P83" i="1"/>
  <c r="M9" i="2"/>
  <c r="Q83" i="1"/>
  <c r="N9" i="2"/>
  <c r="R83" i="1"/>
  <c r="O9" i="2"/>
  <c r="P9" i="2"/>
  <c r="T9" i="2"/>
  <c r="D86" i="1"/>
  <c r="G87" i="1"/>
  <c r="D10" i="2"/>
  <c r="H87" i="1"/>
  <c r="E10" i="2"/>
  <c r="I87" i="1"/>
  <c r="F10" i="2"/>
  <c r="J87" i="1"/>
  <c r="G10" i="2"/>
  <c r="K87" i="1"/>
  <c r="H10" i="2"/>
  <c r="L87" i="1"/>
  <c r="I10" i="2"/>
  <c r="M87" i="1"/>
  <c r="J10" i="2"/>
  <c r="N87" i="1"/>
  <c r="K10" i="2"/>
  <c r="O87" i="1"/>
  <c r="L10" i="2"/>
  <c r="P87" i="1"/>
  <c r="M10" i="2"/>
  <c r="Q87" i="1"/>
  <c r="N10" i="2"/>
  <c r="R87" i="1"/>
  <c r="O10" i="2"/>
  <c r="P10" i="2"/>
  <c r="T10" i="2"/>
  <c r="T14" i="2"/>
  <c r="T60" i="2"/>
  <c r="G13" i="1"/>
  <c r="G120" i="1"/>
  <c r="N120" i="1"/>
  <c r="O120" i="1"/>
  <c r="P120" i="1"/>
  <c r="G14" i="1"/>
  <c r="G15" i="1"/>
  <c r="G121" i="1"/>
  <c r="N121" i="1"/>
  <c r="O121" i="1"/>
  <c r="P121" i="1"/>
  <c r="G16" i="1"/>
  <c r="G17" i="1"/>
  <c r="G122" i="1"/>
  <c r="N122" i="1"/>
  <c r="O122" i="1"/>
  <c r="P122" i="1"/>
  <c r="G18" i="1"/>
  <c r="G19" i="1"/>
  <c r="G21" i="1"/>
  <c r="G126" i="1"/>
  <c r="N126" i="1"/>
  <c r="O126" i="1"/>
  <c r="P126" i="1"/>
  <c r="G22" i="1"/>
  <c r="G25" i="1"/>
  <c r="D24" i="2"/>
  <c r="H13" i="1"/>
  <c r="G95" i="1"/>
  <c r="G77" i="1"/>
  <c r="G84" i="1"/>
  <c r="G88" i="1"/>
  <c r="G61" i="1"/>
  <c r="G62" i="1"/>
  <c r="D48" i="1"/>
  <c r="O3" i="4"/>
  <c r="D20" i="4"/>
  <c r="F20" i="4"/>
  <c r="D21" i="4"/>
  <c r="F21" i="4"/>
  <c r="D22" i="4"/>
  <c r="F22" i="4"/>
  <c r="D23" i="4"/>
  <c r="F23" i="4"/>
  <c r="D24" i="4"/>
  <c r="F24" i="4"/>
  <c r="D25" i="4"/>
  <c r="F25" i="4"/>
  <c r="G26" i="4"/>
  <c r="D49" i="1"/>
  <c r="D14" i="4"/>
  <c r="F14" i="4"/>
  <c r="D15" i="4"/>
  <c r="F15" i="4"/>
  <c r="D16" i="4"/>
  <c r="F16" i="4"/>
  <c r="G17" i="4"/>
  <c r="D51" i="1"/>
  <c r="D63" i="1"/>
  <c r="G63" i="1"/>
  <c r="D64" i="1"/>
  <c r="G64" i="1"/>
  <c r="D65" i="1"/>
  <c r="G65" i="1"/>
  <c r="G66" i="1"/>
  <c r="G67" i="1"/>
  <c r="G97" i="1"/>
  <c r="G98" i="1"/>
  <c r="G11" i="1"/>
  <c r="D29" i="1"/>
  <c r="G29" i="1"/>
  <c r="D30" i="1"/>
  <c r="G30" i="1"/>
  <c r="G26" i="1"/>
  <c r="G8" i="1"/>
  <c r="D31" i="1"/>
  <c r="G31" i="1"/>
  <c r="D32" i="1"/>
  <c r="G32" i="1"/>
  <c r="F33" i="1"/>
  <c r="G33" i="1"/>
  <c r="F34" i="1"/>
  <c r="G34" i="1"/>
  <c r="G35" i="1"/>
  <c r="D36" i="1"/>
  <c r="G36" i="1"/>
  <c r="D37" i="1"/>
  <c r="G37" i="1"/>
  <c r="D38" i="1"/>
  <c r="G38" i="1"/>
  <c r="D44" i="4"/>
  <c r="F44" i="4"/>
  <c r="D45" i="4"/>
  <c r="F45" i="4"/>
  <c r="D46" i="4"/>
  <c r="F46" i="4"/>
  <c r="D47" i="4"/>
  <c r="F47" i="4"/>
  <c r="G49" i="4"/>
  <c r="D44" i="1"/>
  <c r="G44" i="1"/>
  <c r="D31" i="4"/>
  <c r="F31" i="4"/>
  <c r="D32" i="4"/>
  <c r="F32" i="4"/>
  <c r="D33" i="4"/>
  <c r="F33" i="4"/>
  <c r="D34" i="4"/>
  <c r="F34" i="4"/>
  <c r="G35" i="4"/>
  <c r="D45" i="1"/>
  <c r="G45" i="1"/>
  <c r="D40" i="4"/>
  <c r="F40" i="4"/>
  <c r="D46" i="1"/>
  <c r="G46" i="1"/>
  <c r="D6" i="4"/>
  <c r="F6" i="4"/>
  <c r="D7" i="4"/>
  <c r="F7" i="4"/>
  <c r="D8" i="4"/>
  <c r="F8" i="4"/>
  <c r="D9" i="4"/>
  <c r="F9" i="4"/>
  <c r="G10" i="4"/>
  <c r="D47" i="1"/>
  <c r="G47" i="1"/>
  <c r="G49" i="1"/>
  <c r="D50" i="1"/>
  <c r="G50" i="1"/>
  <c r="G51" i="1"/>
  <c r="G53" i="1"/>
  <c r="H45" i="1"/>
  <c r="H47" i="1"/>
  <c r="H48" i="1"/>
  <c r="H49" i="1"/>
  <c r="H50" i="1"/>
  <c r="H51" i="1"/>
  <c r="H53" i="1"/>
  <c r="I47" i="1"/>
  <c r="I48" i="1"/>
  <c r="I53" i="1"/>
  <c r="J47" i="1"/>
  <c r="J48" i="1"/>
  <c r="J53" i="1"/>
  <c r="K47" i="1"/>
  <c r="K48" i="1"/>
  <c r="K53" i="1"/>
  <c r="L47" i="1"/>
  <c r="L53" i="1"/>
  <c r="M47" i="1"/>
  <c r="M53" i="1"/>
  <c r="N47" i="1"/>
  <c r="N53" i="1"/>
  <c r="O47" i="1"/>
  <c r="O53" i="1"/>
  <c r="P47" i="1"/>
  <c r="P53" i="1"/>
  <c r="Q47" i="1"/>
  <c r="Q53" i="1"/>
  <c r="R47" i="1"/>
  <c r="R53" i="1"/>
  <c r="S53" i="1"/>
  <c r="D53" i="1"/>
  <c r="E40" i="1"/>
  <c r="D40" i="1"/>
  <c r="G40" i="1"/>
  <c r="D41" i="1"/>
  <c r="G41" i="1"/>
  <c r="G42" i="1"/>
  <c r="G99" i="1"/>
  <c r="G112" i="1"/>
  <c r="H14" i="1"/>
  <c r="H15" i="1"/>
  <c r="H16" i="1"/>
  <c r="H17" i="1"/>
  <c r="H18" i="1"/>
  <c r="H19" i="1"/>
  <c r="H21" i="1"/>
  <c r="H22" i="1"/>
  <c r="H25" i="1"/>
  <c r="E24" i="2"/>
  <c r="I13" i="1"/>
  <c r="H95" i="1"/>
  <c r="H77" i="1"/>
  <c r="H84" i="1"/>
  <c r="H88" i="1"/>
  <c r="H61" i="1"/>
  <c r="H62" i="1"/>
  <c r="H63" i="1"/>
  <c r="H64" i="1"/>
  <c r="H65" i="1"/>
  <c r="H66" i="1"/>
  <c r="H67" i="1"/>
  <c r="H97" i="1"/>
  <c r="H98" i="1"/>
  <c r="H11" i="1"/>
  <c r="H29" i="1"/>
  <c r="H26" i="1"/>
  <c r="H8" i="1"/>
  <c r="H31" i="1"/>
  <c r="H32" i="1"/>
  <c r="H33" i="1"/>
  <c r="H34" i="1"/>
  <c r="H35" i="1"/>
  <c r="H36" i="1"/>
  <c r="H37" i="1"/>
  <c r="H38" i="1"/>
  <c r="H40" i="1"/>
  <c r="H41" i="1"/>
  <c r="H30" i="1"/>
  <c r="H42" i="1"/>
  <c r="H99" i="1"/>
  <c r="H112" i="1"/>
  <c r="I14" i="1"/>
  <c r="I15" i="1"/>
  <c r="I16" i="1"/>
  <c r="I17" i="1"/>
  <c r="I18" i="1"/>
  <c r="I19" i="1"/>
  <c r="I21" i="1"/>
  <c r="I22" i="1"/>
  <c r="I25" i="1"/>
  <c r="F24" i="2"/>
  <c r="J13" i="1"/>
  <c r="I95" i="1"/>
  <c r="I77" i="1"/>
  <c r="I84" i="1"/>
  <c r="I88" i="1"/>
  <c r="I61" i="1"/>
  <c r="I62" i="1"/>
  <c r="I63" i="1"/>
  <c r="I64" i="1"/>
  <c r="I65" i="1"/>
  <c r="I66" i="1"/>
  <c r="I67" i="1"/>
  <c r="I97" i="1"/>
  <c r="I98" i="1"/>
  <c r="I11" i="1"/>
  <c r="I29" i="1"/>
  <c r="I26" i="1"/>
  <c r="I8" i="1"/>
  <c r="I31" i="1"/>
  <c r="I32" i="1"/>
  <c r="I33" i="1"/>
  <c r="I34" i="1"/>
  <c r="I35" i="1"/>
  <c r="I36" i="1"/>
  <c r="I37" i="1"/>
  <c r="I38" i="1"/>
  <c r="I40" i="1"/>
  <c r="I41" i="1"/>
  <c r="I30" i="1"/>
  <c r="I42" i="1"/>
  <c r="I99" i="1"/>
  <c r="I112" i="1"/>
  <c r="J14" i="1"/>
  <c r="J15" i="1"/>
  <c r="J16" i="1"/>
  <c r="J17" i="1"/>
  <c r="J18" i="1"/>
  <c r="J19" i="1"/>
  <c r="J21" i="1"/>
  <c r="J22" i="1"/>
  <c r="J25" i="1"/>
  <c r="G24" i="2"/>
  <c r="K13" i="1"/>
  <c r="J95" i="1"/>
  <c r="J77" i="1"/>
  <c r="J84" i="1"/>
  <c r="J88" i="1"/>
  <c r="J61" i="1"/>
  <c r="J62" i="1"/>
  <c r="J63" i="1"/>
  <c r="J64" i="1"/>
  <c r="J65" i="1"/>
  <c r="J66" i="1"/>
  <c r="J67" i="1"/>
  <c r="J97" i="1"/>
  <c r="J98" i="1"/>
  <c r="J11" i="1"/>
  <c r="J29" i="1"/>
  <c r="J30" i="1"/>
  <c r="J26" i="1"/>
  <c r="J8" i="1"/>
  <c r="J31" i="1"/>
  <c r="J32" i="1"/>
  <c r="J33" i="1"/>
  <c r="J34" i="1"/>
  <c r="J35" i="1"/>
  <c r="J36" i="1"/>
  <c r="J37" i="1"/>
  <c r="J38" i="1"/>
  <c r="J40" i="1"/>
  <c r="J41" i="1"/>
  <c r="J42" i="1"/>
  <c r="J99" i="1"/>
  <c r="J112" i="1"/>
  <c r="K14" i="1"/>
  <c r="K15" i="1"/>
  <c r="K16" i="1"/>
  <c r="K17" i="1"/>
  <c r="K18" i="1"/>
  <c r="K19" i="1"/>
  <c r="K21" i="1"/>
  <c r="K22" i="1"/>
  <c r="K25" i="1"/>
  <c r="H24" i="2"/>
  <c r="L13" i="1"/>
  <c r="K95" i="1"/>
  <c r="K77" i="1"/>
  <c r="K84" i="1"/>
  <c r="K88" i="1"/>
  <c r="K61" i="1"/>
  <c r="K62" i="1"/>
  <c r="K63" i="1"/>
  <c r="K64" i="1"/>
  <c r="K65" i="1"/>
  <c r="K66" i="1"/>
  <c r="K67" i="1"/>
  <c r="K97" i="1"/>
  <c r="K98" i="1"/>
  <c r="K11" i="1"/>
  <c r="K29" i="1"/>
  <c r="K26" i="1"/>
  <c r="K8" i="1"/>
  <c r="K31" i="1"/>
  <c r="K32" i="1"/>
  <c r="K33" i="1"/>
  <c r="K34" i="1"/>
  <c r="K35" i="1"/>
  <c r="K36" i="1"/>
  <c r="K37" i="1"/>
  <c r="K38" i="1"/>
  <c r="K40" i="1"/>
  <c r="K41" i="1"/>
  <c r="K30" i="1"/>
  <c r="K42" i="1"/>
  <c r="K99" i="1"/>
  <c r="K112" i="1"/>
  <c r="L14" i="1"/>
  <c r="L15" i="1"/>
  <c r="L16" i="1"/>
  <c r="L17" i="1"/>
  <c r="L18" i="1"/>
  <c r="L19" i="1"/>
  <c r="L21" i="1"/>
  <c r="L22" i="1"/>
  <c r="L25" i="1"/>
  <c r="I24" i="2"/>
  <c r="M13" i="1"/>
  <c r="L95" i="1"/>
  <c r="L77" i="1"/>
  <c r="L84" i="1"/>
  <c r="L88" i="1"/>
  <c r="L61" i="1"/>
  <c r="L62" i="1"/>
  <c r="L63" i="1"/>
  <c r="L64" i="1"/>
  <c r="L65" i="1"/>
  <c r="L66" i="1"/>
  <c r="L67" i="1"/>
  <c r="L97" i="1"/>
  <c r="L98" i="1"/>
  <c r="L11" i="1"/>
  <c r="L29" i="1"/>
  <c r="L26" i="1"/>
  <c r="L8" i="1"/>
  <c r="L31" i="1"/>
  <c r="L32" i="1"/>
  <c r="L33" i="1"/>
  <c r="L34" i="1"/>
  <c r="L35" i="1"/>
  <c r="L36" i="1"/>
  <c r="L37" i="1"/>
  <c r="L38" i="1"/>
  <c r="L40" i="1"/>
  <c r="L41" i="1"/>
  <c r="L30" i="1"/>
  <c r="L42" i="1"/>
  <c r="L99" i="1"/>
  <c r="L112" i="1"/>
  <c r="M14" i="1"/>
  <c r="M15" i="1"/>
  <c r="M16" i="1"/>
  <c r="M17" i="1"/>
  <c r="M18" i="1"/>
  <c r="M19" i="1"/>
  <c r="M21" i="1"/>
  <c r="M22" i="1"/>
  <c r="M25" i="1"/>
  <c r="J24" i="2"/>
  <c r="N13" i="1"/>
  <c r="M95" i="1"/>
  <c r="M77" i="1"/>
  <c r="M84" i="1"/>
  <c r="M88" i="1"/>
  <c r="M61" i="1"/>
  <c r="M62" i="1"/>
  <c r="M63" i="1"/>
  <c r="M64" i="1"/>
  <c r="M65" i="1"/>
  <c r="M66" i="1"/>
  <c r="M67" i="1"/>
  <c r="M97" i="1"/>
  <c r="M98" i="1"/>
  <c r="M11" i="1"/>
  <c r="M29" i="1"/>
  <c r="M30" i="1"/>
  <c r="M26" i="1"/>
  <c r="M8" i="1"/>
  <c r="M31" i="1"/>
  <c r="M32" i="1"/>
  <c r="M33" i="1"/>
  <c r="M34" i="1"/>
  <c r="M35" i="1"/>
  <c r="M36" i="1"/>
  <c r="M37" i="1"/>
  <c r="M38" i="1"/>
  <c r="M40" i="1"/>
  <c r="M41" i="1"/>
  <c r="M42" i="1"/>
  <c r="M99" i="1"/>
  <c r="M112" i="1"/>
  <c r="N14" i="1"/>
  <c r="N15" i="1"/>
  <c r="N16" i="1"/>
  <c r="N17" i="1"/>
  <c r="N18" i="1"/>
  <c r="N19" i="1"/>
  <c r="N21" i="1"/>
  <c r="N22" i="1"/>
  <c r="N25" i="1"/>
  <c r="K24" i="2"/>
  <c r="O13" i="1"/>
  <c r="N95" i="1"/>
  <c r="N77" i="1"/>
  <c r="N84" i="1"/>
  <c r="N88" i="1"/>
  <c r="N61" i="1"/>
  <c r="N62" i="1"/>
  <c r="N63" i="1"/>
  <c r="N64" i="1"/>
  <c r="N65" i="1"/>
  <c r="N66" i="1"/>
  <c r="N67" i="1"/>
  <c r="N97" i="1"/>
  <c r="N98" i="1"/>
  <c r="N11" i="1"/>
  <c r="N29" i="1"/>
  <c r="N26" i="1"/>
  <c r="N8" i="1"/>
  <c r="N31" i="1"/>
  <c r="N32" i="1"/>
  <c r="N33" i="1"/>
  <c r="N34" i="1"/>
  <c r="N35" i="1"/>
  <c r="N36" i="1"/>
  <c r="N37" i="1"/>
  <c r="N38" i="1"/>
  <c r="N40" i="1"/>
  <c r="N41" i="1"/>
  <c r="N30" i="1"/>
  <c r="N42" i="1"/>
  <c r="N99" i="1"/>
  <c r="N112" i="1"/>
  <c r="O14" i="1"/>
  <c r="O15" i="1"/>
  <c r="O16" i="1"/>
  <c r="O17" i="1"/>
  <c r="O18" i="1"/>
  <c r="O19" i="1"/>
  <c r="O21" i="1"/>
  <c r="O22" i="1"/>
  <c r="O25" i="1"/>
  <c r="L24" i="2"/>
  <c r="P13" i="1"/>
  <c r="O95" i="1"/>
  <c r="O77" i="1"/>
  <c r="O84" i="1"/>
  <c r="O88" i="1"/>
  <c r="O61" i="1"/>
  <c r="O62" i="1"/>
  <c r="O63" i="1"/>
  <c r="O64" i="1"/>
  <c r="O65" i="1"/>
  <c r="O66" i="1"/>
  <c r="O67" i="1"/>
  <c r="O97" i="1"/>
  <c r="O98" i="1"/>
  <c r="O11" i="1"/>
  <c r="O29" i="1"/>
  <c r="O26" i="1"/>
  <c r="O8" i="1"/>
  <c r="O31" i="1"/>
  <c r="O32" i="1"/>
  <c r="O33" i="1"/>
  <c r="O34" i="1"/>
  <c r="O35" i="1"/>
  <c r="O36" i="1"/>
  <c r="O37" i="1"/>
  <c r="O38" i="1"/>
  <c r="O40" i="1"/>
  <c r="O41" i="1"/>
  <c r="O30" i="1"/>
  <c r="O42" i="1"/>
  <c r="O99" i="1"/>
  <c r="O112" i="1"/>
  <c r="P14" i="1"/>
  <c r="P15" i="1"/>
  <c r="P16" i="1"/>
  <c r="P17" i="1"/>
  <c r="P18" i="1"/>
  <c r="P19" i="1"/>
  <c r="P21" i="1"/>
  <c r="P22" i="1"/>
  <c r="P25" i="1"/>
  <c r="M24" i="2"/>
  <c r="Q13" i="1"/>
  <c r="P95" i="1"/>
  <c r="P77" i="1"/>
  <c r="P84" i="1"/>
  <c r="P88" i="1"/>
  <c r="P61" i="1"/>
  <c r="P62" i="1"/>
  <c r="P63" i="1"/>
  <c r="P64" i="1"/>
  <c r="P65" i="1"/>
  <c r="P66" i="1"/>
  <c r="P67" i="1"/>
  <c r="P97" i="1"/>
  <c r="P98" i="1"/>
  <c r="P11" i="1"/>
  <c r="P29" i="1"/>
  <c r="P30" i="1"/>
  <c r="P26" i="1"/>
  <c r="P8" i="1"/>
  <c r="P31" i="1"/>
  <c r="P32" i="1"/>
  <c r="P33" i="1"/>
  <c r="P34" i="1"/>
  <c r="P35" i="1"/>
  <c r="P36" i="1"/>
  <c r="P37" i="1"/>
  <c r="P38" i="1"/>
  <c r="P40" i="1"/>
  <c r="P41" i="1"/>
  <c r="P42" i="1"/>
  <c r="P99" i="1"/>
  <c r="P112" i="1"/>
  <c r="Q14" i="1"/>
  <c r="Q15" i="1"/>
  <c r="Q16" i="1"/>
  <c r="Q17" i="1"/>
  <c r="Q18" i="1"/>
  <c r="Q19" i="1"/>
  <c r="Q21" i="1"/>
  <c r="Q22" i="1"/>
  <c r="Q25" i="1"/>
  <c r="N24" i="2"/>
  <c r="R13" i="1"/>
  <c r="Q95" i="1"/>
  <c r="Q77" i="1"/>
  <c r="Q84" i="1"/>
  <c r="Q88" i="1"/>
  <c r="Q61" i="1"/>
  <c r="Q62" i="1"/>
  <c r="Q63" i="1"/>
  <c r="Q64" i="1"/>
  <c r="Q65" i="1"/>
  <c r="Q66" i="1"/>
  <c r="Q67" i="1"/>
  <c r="Q97" i="1"/>
  <c r="Q98" i="1"/>
  <c r="Q11" i="1"/>
  <c r="Q29" i="1"/>
  <c r="Q26" i="1"/>
  <c r="Q8" i="1"/>
  <c r="Q31" i="1"/>
  <c r="Q32" i="1"/>
  <c r="Q33" i="1"/>
  <c r="Q34" i="1"/>
  <c r="Q35" i="1"/>
  <c r="Q36" i="1"/>
  <c r="Q37" i="1"/>
  <c r="Q38" i="1"/>
  <c r="Q40" i="1"/>
  <c r="Q41" i="1"/>
  <c r="Q30" i="1"/>
  <c r="Q42" i="1"/>
  <c r="Q99" i="1"/>
  <c r="Q112" i="1"/>
  <c r="R14" i="1"/>
  <c r="R15" i="1"/>
  <c r="R16" i="1"/>
  <c r="R17" i="1"/>
  <c r="R18" i="1"/>
  <c r="R19" i="1"/>
  <c r="R21" i="1"/>
  <c r="R22" i="1"/>
  <c r="R25" i="1"/>
  <c r="O24" i="2"/>
  <c r="P24" i="2"/>
  <c r="T24" i="2"/>
  <c r="D26" i="2"/>
  <c r="E26" i="2"/>
  <c r="F26" i="2"/>
  <c r="G26" i="2"/>
  <c r="H26" i="2"/>
  <c r="I26" i="2"/>
  <c r="J26" i="2"/>
  <c r="K26" i="2"/>
  <c r="L26" i="2"/>
  <c r="M26" i="2"/>
  <c r="N26" i="2"/>
  <c r="R11" i="1"/>
  <c r="R29" i="1"/>
  <c r="O26" i="2"/>
  <c r="P26" i="2"/>
  <c r="T26" i="2"/>
  <c r="D27" i="2"/>
  <c r="E27" i="2"/>
  <c r="F27" i="2"/>
  <c r="G27" i="2"/>
  <c r="H27" i="2"/>
  <c r="I27" i="2"/>
  <c r="J27" i="2"/>
  <c r="K27" i="2"/>
  <c r="L27" i="2"/>
  <c r="M27" i="2"/>
  <c r="N27" i="2"/>
  <c r="R30" i="1"/>
  <c r="O27" i="2"/>
  <c r="P27" i="2"/>
  <c r="T27" i="2"/>
  <c r="D28" i="2"/>
  <c r="E28" i="2"/>
  <c r="F28" i="2"/>
  <c r="G28" i="2"/>
  <c r="H28" i="2"/>
  <c r="I28" i="2"/>
  <c r="J28" i="2"/>
  <c r="K28" i="2"/>
  <c r="L28" i="2"/>
  <c r="M28" i="2"/>
  <c r="N28" i="2"/>
  <c r="R26" i="1"/>
  <c r="R8" i="1"/>
  <c r="R31" i="1"/>
  <c r="O28" i="2"/>
  <c r="P28" i="2"/>
  <c r="T28" i="2"/>
  <c r="D29" i="2"/>
  <c r="E29" i="2"/>
  <c r="F29" i="2"/>
  <c r="G29" i="2"/>
  <c r="H29" i="2"/>
  <c r="I29" i="2"/>
  <c r="J29" i="2"/>
  <c r="K29" i="2"/>
  <c r="L29" i="2"/>
  <c r="M29" i="2"/>
  <c r="N29" i="2"/>
  <c r="R32" i="1"/>
  <c r="O29" i="2"/>
  <c r="P29" i="2"/>
  <c r="T29" i="2"/>
  <c r="D30" i="2"/>
  <c r="E30" i="2"/>
  <c r="F30" i="2"/>
  <c r="G30" i="2"/>
  <c r="H30" i="2"/>
  <c r="I30" i="2"/>
  <c r="J30" i="2"/>
  <c r="K30" i="2"/>
  <c r="L30" i="2"/>
  <c r="M30" i="2"/>
  <c r="N30" i="2"/>
  <c r="R33" i="1"/>
  <c r="O30" i="2"/>
  <c r="P30" i="2"/>
  <c r="T30" i="2"/>
  <c r="D31" i="2"/>
  <c r="E31" i="2"/>
  <c r="F31" i="2"/>
  <c r="G31" i="2"/>
  <c r="H31" i="2"/>
  <c r="I31" i="2"/>
  <c r="J31" i="2"/>
  <c r="K31" i="2"/>
  <c r="L31" i="2"/>
  <c r="M31" i="2"/>
  <c r="N31" i="2"/>
  <c r="R34" i="1"/>
  <c r="O31" i="2"/>
  <c r="P31" i="2"/>
  <c r="T31" i="2"/>
  <c r="D32" i="2"/>
  <c r="E32" i="2"/>
  <c r="F32" i="2"/>
  <c r="G32" i="2"/>
  <c r="H32" i="2"/>
  <c r="I32" i="2"/>
  <c r="J32" i="2"/>
  <c r="K32" i="2"/>
  <c r="L32" i="2"/>
  <c r="M32" i="2"/>
  <c r="N32" i="2"/>
  <c r="R35" i="1"/>
  <c r="O32" i="2"/>
  <c r="P32" i="2"/>
  <c r="T32" i="2"/>
  <c r="D33" i="2"/>
  <c r="E33" i="2"/>
  <c r="F33" i="2"/>
  <c r="G33" i="2"/>
  <c r="H33" i="2"/>
  <c r="I33" i="2"/>
  <c r="J33" i="2"/>
  <c r="K33" i="2"/>
  <c r="L33" i="2"/>
  <c r="M33" i="2"/>
  <c r="N33" i="2"/>
  <c r="R36" i="1"/>
  <c r="O33" i="2"/>
  <c r="P33" i="2"/>
  <c r="T33" i="2"/>
  <c r="D34" i="2"/>
  <c r="E34" i="2"/>
  <c r="F34" i="2"/>
  <c r="G34" i="2"/>
  <c r="H34" i="2"/>
  <c r="I34" i="2"/>
  <c r="J34" i="2"/>
  <c r="K34" i="2"/>
  <c r="L34" i="2"/>
  <c r="M34" i="2"/>
  <c r="N34" i="2"/>
  <c r="R37" i="1"/>
  <c r="O34" i="2"/>
  <c r="P34" i="2"/>
  <c r="T34" i="2"/>
  <c r="D35" i="2"/>
  <c r="E35" i="2"/>
  <c r="F35" i="2"/>
  <c r="G35" i="2"/>
  <c r="H35" i="2"/>
  <c r="I35" i="2"/>
  <c r="J35" i="2"/>
  <c r="K35" i="2"/>
  <c r="L35" i="2"/>
  <c r="M35" i="2"/>
  <c r="N35" i="2"/>
  <c r="R38" i="1"/>
  <c r="O35" i="2"/>
  <c r="P35" i="2"/>
  <c r="T35" i="2"/>
  <c r="D37" i="2"/>
  <c r="E37" i="2"/>
  <c r="F37" i="2"/>
  <c r="G37" i="2"/>
  <c r="H37" i="2"/>
  <c r="I37" i="2"/>
  <c r="J37" i="2"/>
  <c r="K37" i="2"/>
  <c r="L37" i="2"/>
  <c r="M37" i="2"/>
  <c r="N37" i="2"/>
  <c r="R65" i="1"/>
  <c r="O37" i="2"/>
  <c r="P37" i="2"/>
  <c r="T37" i="2"/>
  <c r="D39" i="2"/>
  <c r="E39" i="2"/>
  <c r="F39" i="2"/>
  <c r="G39" i="2"/>
  <c r="H39" i="2"/>
  <c r="I39" i="2"/>
  <c r="J39" i="2"/>
  <c r="K39" i="2"/>
  <c r="L39" i="2"/>
  <c r="M39" i="2"/>
  <c r="N39" i="2"/>
  <c r="R40" i="1"/>
  <c r="O39" i="2"/>
  <c r="P39" i="2"/>
  <c r="T39" i="2"/>
  <c r="D49" i="2"/>
  <c r="E49" i="2"/>
  <c r="F49" i="2"/>
  <c r="G49" i="2"/>
  <c r="H49" i="2"/>
  <c r="I49" i="2"/>
  <c r="J49" i="2"/>
  <c r="K49" i="2"/>
  <c r="L49" i="2"/>
  <c r="M49" i="2"/>
  <c r="N49" i="2"/>
  <c r="R41" i="1"/>
  <c r="O49" i="2"/>
  <c r="P49" i="2"/>
  <c r="T38" i="2"/>
  <c r="T41" i="2"/>
  <c r="D16" i="2"/>
  <c r="E16" i="2"/>
  <c r="F16" i="2"/>
  <c r="G16" i="2"/>
  <c r="H16" i="2"/>
  <c r="I16" i="2"/>
  <c r="J16" i="2"/>
  <c r="K16" i="2"/>
  <c r="L16" i="2"/>
  <c r="M16" i="2"/>
  <c r="N16" i="2"/>
  <c r="R77" i="1"/>
  <c r="R84" i="1"/>
  <c r="R88" i="1"/>
  <c r="R61" i="1"/>
  <c r="R62" i="1"/>
  <c r="R63" i="1"/>
  <c r="R64" i="1"/>
  <c r="R66" i="1"/>
  <c r="R67" i="1"/>
  <c r="R97" i="1"/>
  <c r="O16" i="2"/>
  <c r="P16" i="2"/>
  <c r="T16" i="2"/>
  <c r="D51" i="2"/>
  <c r="E51" i="2"/>
  <c r="F51" i="2"/>
  <c r="G51" i="2"/>
  <c r="H51" i="2"/>
  <c r="I51" i="2"/>
  <c r="J51" i="2"/>
  <c r="K51" i="2"/>
  <c r="L51" i="2"/>
  <c r="M51" i="2"/>
  <c r="N51" i="2"/>
  <c r="O51" i="2"/>
  <c r="P51" i="2"/>
  <c r="T62" i="2"/>
  <c r="U7" i="2"/>
  <c r="V7" i="2"/>
  <c r="U8" i="2"/>
  <c r="V8" i="2"/>
  <c r="U9" i="2"/>
  <c r="V9" i="2"/>
  <c r="U10" i="2"/>
  <c r="V10" i="2"/>
  <c r="V14" i="2"/>
  <c r="V60" i="2"/>
  <c r="O23" i="2"/>
  <c r="T23" i="2"/>
  <c r="U3" i="2"/>
  <c r="T3" i="2"/>
  <c r="U23" i="2"/>
  <c r="V3" i="2"/>
  <c r="V23" i="2"/>
  <c r="V24" i="2"/>
  <c r="V26" i="2"/>
  <c r="V27" i="2"/>
  <c r="V28" i="2"/>
  <c r="V29" i="2"/>
  <c r="V30" i="2"/>
  <c r="V31" i="2"/>
  <c r="V32" i="2"/>
  <c r="V33" i="2"/>
  <c r="V34" i="2"/>
  <c r="V35" i="2"/>
  <c r="T4" i="2"/>
  <c r="U4" i="2"/>
  <c r="U37" i="2"/>
  <c r="V4" i="2"/>
  <c r="V37" i="2"/>
  <c r="U39" i="2"/>
  <c r="V39" i="2"/>
  <c r="U38" i="2"/>
  <c r="V38" i="2"/>
  <c r="V41" i="2"/>
  <c r="U14" i="2"/>
  <c r="U16" i="2"/>
  <c r="V16" i="2"/>
  <c r="T52" i="2"/>
  <c r="U52" i="2"/>
  <c r="V62" i="2"/>
  <c r="U60" i="2"/>
  <c r="U24" i="2"/>
  <c r="U26" i="2"/>
  <c r="U27" i="2"/>
  <c r="U28" i="2"/>
  <c r="U29" i="2"/>
  <c r="U30" i="2"/>
  <c r="U31" i="2"/>
  <c r="U32" i="2"/>
  <c r="U33" i="2"/>
  <c r="U34" i="2"/>
  <c r="U35" i="2"/>
  <c r="U41" i="2"/>
  <c r="U62" i="2"/>
  <c r="W7" i="2"/>
  <c r="W8" i="2"/>
  <c r="W9" i="2"/>
  <c r="W10" i="2"/>
  <c r="W14" i="2"/>
  <c r="W60" i="2"/>
  <c r="W3" i="2"/>
  <c r="W23" i="2"/>
  <c r="W24" i="2"/>
  <c r="W26" i="2"/>
  <c r="W27" i="2"/>
  <c r="W28" i="2"/>
  <c r="W29" i="2"/>
  <c r="W30" i="2"/>
  <c r="W31" i="2"/>
  <c r="W32" i="2"/>
  <c r="W33" i="2"/>
  <c r="W34" i="2"/>
  <c r="W35" i="2"/>
  <c r="W4" i="2"/>
  <c r="W37" i="2"/>
  <c r="W39" i="2"/>
  <c r="W38" i="2"/>
  <c r="W41" i="2"/>
  <c r="W16" i="2"/>
  <c r="V52" i="2"/>
  <c r="W62" i="2"/>
  <c r="X7" i="2"/>
  <c r="X8" i="2"/>
  <c r="X9" i="2"/>
  <c r="X10" i="2"/>
  <c r="X14" i="2"/>
  <c r="X60" i="2"/>
  <c r="X3" i="2"/>
  <c r="X23" i="2"/>
  <c r="X24" i="2"/>
  <c r="X26" i="2"/>
  <c r="X27" i="2"/>
  <c r="X28" i="2"/>
  <c r="X29" i="2"/>
  <c r="X30" i="2"/>
  <c r="X31" i="2"/>
  <c r="X32" i="2"/>
  <c r="X33" i="2"/>
  <c r="X34" i="2"/>
  <c r="X35" i="2"/>
  <c r="X4" i="2"/>
  <c r="X37" i="2"/>
  <c r="X39" i="2"/>
  <c r="X38" i="2"/>
  <c r="X41" i="2"/>
  <c r="X16" i="2"/>
  <c r="W52" i="2"/>
  <c r="X62" i="2"/>
  <c r="S62" i="2"/>
  <c r="L14" i="3"/>
  <c r="M14" i="3"/>
  <c r="N14" i="3"/>
  <c r="O14" i="3"/>
  <c r="K14" i="3"/>
  <c r="S63" i="2"/>
  <c r="J14" i="3"/>
  <c r="J13" i="3"/>
  <c r="X65" i="2"/>
  <c r="W65" i="2"/>
  <c r="V65" i="2"/>
  <c r="U65" i="2"/>
  <c r="T65" i="2"/>
  <c r="U66" i="2"/>
  <c r="V66" i="2"/>
  <c r="W66" i="2"/>
  <c r="X66" i="2"/>
  <c r="U67" i="2"/>
  <c r="V67" i="2"/>
  <c r="W67" i="2"/>
  <c r="X67" i="2"/>
  <c r="T66" i="2"/>
  <c r="T67" i="2"/>
  <c r="X52" i="2"/>
  <c r="G41" i="2"/>
  <c r="H41" i="2"/>
  <c r="I41" i="2"/>
  <c r="J41" i="2"/>
  <c r="K41" i="2"/>
  <c r="L41" i="2"/>
  <c r="M41" i="2"/>
  <c r="N41" i="2"/>
  <c r="O41" i="2"/>
  <c r="E41" i="2"/>
  <c r="F41" i="2"/>
  <c r="D41" i="2"/>
  <c r="S14" i="2"/>
  <c r="J4" i="3"/>
  <c r="S16" i="2"/>
  <c r="S41" i="2"/>
  <c r="S65" i="2"/>
  <c r="S57" i="2"/>
  <c r="S60" i="2"/>
  <c r="J42" i="3"/>
  <c r="J45" i="3"/>
  <c r="C47" i="2"/>
  <c r="G102" i="1"/>
  <c r="G106" i="1"/>
  <c r="H102" i="1"/>
  <c r="H106" i="1"/>
  <c r="I102" i="1"/>
  <c r="I106" i="1"/>
  <c r="J102" i="1"/>
  <c r="J106" i="1"/>
  <c r="K102" i="1"/>
  <c r="K106" i="1"/>
  <c r="L102" i="1"/>
  <c r="L106" i="1"/>
  <c r="M102" i="1"/>
  <c r="M106" i="1"/>
  <c r="N102" i="1"/>
  <c r="N106" i="1"/>
  <c r="O102" i="1"/>
  <c r="O106" i="1"/>
  <c r="P102" i="1"/>
  <c r="P106" i="1"/>
  <c r="Q102" i="1"/>
  <c r="Q106" i="1"/>
  <c r="R95" i="1"/>
  <c r="R98" i="1"/>
  <c r="R42" i="1"/>
  <c r="R99" i="1"/>
  <c r="R102" i="1"/>
  <c r="R106" i="1"/>
  <c r="C99" i="1"/>
  <c r="G94" i="1"/>
  <c r="G103" i="1"/>
  <c r="S98" i="1"/>
  <c r="S99" i="1"/>
  <c r="G114" i="1"/>
  <c r="H114" i="1"/>
  <c r="I114" i="1"/>
  <c r="J114" i="1"/>
  <c r="K114" i="1"/>
  <c r="L114" i="1"/>
  <c r="M114" i="1"/>
  <c r="N114" i="1"/>
  <c r="O114" i="1"/>
  <c r="P114" i="1"/>
  <c r="Q114" i="1"/>
  <c r="R114" i="1"/>
  <c r="G115" i="1"/>
  <c r="H115" i="1"/>
  <c r="I115" i="1"/>
  <c r="J115" i="1"/>
  <c r="K115" i="1"/>
  <c r="L115" i="1"/>
  <c r="M115" i="1"/>
  <c r="N115" i="1"/>
  <c r="O115" i="1"/>
  <c r="P115" i="1"/>
  <c r="Q115" i="1"/>
  <c r="R115" i="1"/>
  <c r="S110" i="1"/>
  <c r="G111" i="1"/>
  <c r="H111" i="1"/>
  <c r="I111" i="1"/>
  <c r="J111" i="1"/>
  <c r="K111" i="1"/>
  <c r="L111" i="1"/>
  <c r="M111" i="1"/>
  <c r="N111" i="1"/>
  <c r="O111" i="1"/>
  <c r="P111" i="1"/>
  <c r="Q111" i="1"/>
  <c r="R111" i="1"/>
  <c r="S111" i="1"/>
  <c r="R112" i="1"/>
  <c r="S112" i="1"/>
  <c r="S64" i="1"/>
  <c r="S81" i="1"/>
  <c r="S62" i="1"/>
  <c r="S63" i="1"/>
  <c r="S65" i="1"/>
  <c r="S66" i="1"/>
  <c r="S67" i="1"/>
  <c r="E39" i="4"/>
  <c r="E40" i="4"/>
  <c r="E21" i="4"/>
  <c r="E22" i="4"/>
  <c r="E23" i="4"/>
  <c r="E24" i="4"/>
  <c r="E25" i="4"/>
  <c r="E20" i="4"/>
  <c r="D51" i="4"/>
  <c r="G51" i="4"/>
  <c r="Q51" i="4"/>
  <c r="O51" i="4"/>
  <c r="E51" i="4"/>
  <c r="D39" i="4"/>
  <c r="F39" i="4"/>
  <c r="D3" i="4"/>
  <c r="O48" i="4"/>
  <c r="P48" i="4"/>
  <c r="Q49" i="4"/>
  <c r="O6" i="4"/>
  <c r="O14" i="4"/>
  <c r="O15" i="4"/>
  <c r="O20" i="4"/>
  <c r="O23" i="4"/>
  <c r="O24" i="4"/>
  <c r="O25" i="4"/>
  <c r="O31" i="4"/>
  <c r="O34" i="4"/>
  <c r="O33" i="4"/>
  <c r="O32" i="4"/>
  <c r="O39" i="4"/>
  <c r="E32" i="4"/>
  <c r="E33" i="4"/>
  <c r="E34" i="4"/>
  <c r="E31" i="4"/>
  <c r="O16" i="4"/>
  <c r="O21" i="4"/>
  <c r="O22" i="4"/>
  <c r="E15" i="4"/>
  <c r="E16" i="4"/>
  <c r="E14" i="4"/>
  <c r="O7" i="4"/>
  <c r="E7" i="4"/>
  <c r="O8" i="4"/>
  <c r="E8" i="4"/>
  <c r="O9" i="4"/>
  <c r="E9" i="4"/>
  <c r="E6" i="4"/>
  <c r="M32" i="8"/>
  <c r="S74" i="2"/>
  <c r="N9" i="4"/>
  <c r="U69" i="2"/>
  <c r="V69" i="2"/>
  <c r="W69" i="2"/>
  <c r="X69" i="2"/>
  <c r="T69" i="2"/>
  <c r="Q23" i="8"/>
  <c r="Q3" i="8"/>
  <c r="H23" i="1"/>
  <c r="I23" i="1"/>
  <c r="J23" i="1"/>
  <c r="K23" i="1"/>
  <c r="L23" i="1"/>
  <c r="M23" i="1"/>
  <c r="N23" i="1"/>
  <c r="O23" i="1"/>
  <c r="P23" i="1"/>
  <c r="Q23" i="1"/>
  <c r="R23" i="1"/>
  <c r="G23" i="1"/>
  <c r="S77" i="1"/>
  <c r="F57" i="8"/>
  <c r="F58" i="8"/>
  <c r="H58" i="8"/>
  <c r="S23" i="1"/>
  <c r="S21" i="1"/>
  <c r="S19" i="1"/>
  <c r="S17" i="1"/>
  <c r="S15" i="1"/>
  <c r="S13" i="1"/>
  <c r="S11" i="1"/>
  <c r="G29" i="8"/>
  <c r="G30" i="8"/>
  <c r="G31" i="8"/>
  <c r="G32" i="8"/>
  <c r="G28" i="8"/>
  <c r="M120" i="1"/>
  <c r="M121" i="1"/>
  <c r="M122" i="1"/>
  <c r="M126" i="1"/>
  <c r="D69" i="2"/>
  <c r="U70" i="2"/>
  <c r="V70" i="2"/>
  <c r="G128" i="1"/>
  <c r="G41" i="4"/>
  <c r="W70" i="2"/>
  <c r="X70" i="2"/>
  <c r="Q74" i="2"/>
  <c r="N40" i="4"/>
  <c r="P40" i="4"/>
  <c r="P39" i="4"/>
  <c r="Q41" i="4"/>
  <c r="P6" i="4"/>
  <c r="P7" i="4"/>
  <c r="P8" i="4"/>
  <c r="P9" i="4"/>
  <c r="Q10" i="4"/>
  <c r="P14" i="4"/>
  <c r="P15" i="4"/>
  <c r="P16" i="4"/>
  <c r="Q17" i="4"/>
  <c r="P20" i="4"/>
  <c r="P21" i="4"/>
  <c r="P22" i="4"/>
  <c r="P23" i="4"/>
  <c r="P24" i="4"/>
  <c r="P25" i="4"/>
  <c r="Q26" i="4"/>
  <c r="P31" i="4"/>
  <c r="P32" i="4"/>
  <c r="P33" i="4"/>
  <c r="P34" i="4"/>
  <c r="Q35" i="4"/>
  <c r="P44" i="4"/>
  <c r="P45" i="4"/>
  <c r="P46" i="4"/>
  <c r="P47" i="4"/>
  <c r="E38" i="3"/>
  <c r="F38" i="3"/>
  <c r="G38" i="3"/>
  <c r="H38" i="3"/>
  <c r="D38" i="3"/>
  <c r="G123" i="1"/>
  <c r="G124" i="1"/>
  <c r="G125" i="1"/>
  <c r="G127" i="1"/>
  <c r="F28" i="5"/>
  <c r="F4" i="5"/>
  <c r="F5" i="5"/>
  <c r="F6" i="5"/>
  <c r="F7" i="5"/>
  <c r="F8" i="5"/>
  <c r="F9" i="5"/>
  <c r="F10" i="5"/>
  <c r="F11" i="5"/>
  <c r="F13" i="5"/>
  <c r="F15" i="5"/>
  <c r="F16" i="5"/>
  <c r="F18" i="5"/>
  <c r="F20" i="5"/>
  <c r="F23" i="5"/>
  <c r="F25" i="5"/>
  <c r="F3" i="5"/>
  <c r="H28" i="5"/>
  <c r="U71" i="2"/>
  <c r="V71" i="2"/>
  <c r="W71" i="2"/>
  <c r="X71" i="2"/>
  <c r="D14" i="2"/>
  <c r="E14" i="2"/>
  <c r="F14" i="2"/>
  <c r="G14" i="2"/>
  <c r="H14" i="2"/>
  <c r="I14" i="2"/>
  <c r="J14" i="2"/>
  <c r="K14" i="2"/>
  <c r="L14" i="2"/>
  <c r="M14" i="2"/>
  <c r="N14" i="2"/>
  <c r="O14" i="2"/>
  <c r="P14" i="2"/>
  <c r="P60" i="2"/>
  <c r="E60" i="2"/>
  <c r="F60" i="2"/>
  <c r="G60" i="2"/>
  <c r="H60" i="2"/>
  <c r="I60" i="2"/>
  <c r="J60" i="2"/>
  <c r="K60" i="2"/>
  <c r="L60" i="2"/>
  <c r="M60" i="2"/>
  <c r="N60" i="2"/>
  <c r="O60" i="2"/>
  <c r="D60" i="2"/>
  <c r="B51" i="2"/>
  <c r="U19" i="2"/>
  <c r="X20" i="2"/>
  <c r="X19" i="2"/>
  <c r="W20" i="2"/>
  <c r="W19" i="2"/>
  <c r="V20" i="2"/>
  <c r="V19" i="2"/>
  <c r="U20" i="2"/>
  <c r="T20" i="2"/>
  <c r="T19" i="2"/>
  <c r="S20" i="2"/>
  <c r="S19" i="2"/>
  <c r="D19" i="2"/>
  <c r="E19" i="2"/>
  <c r="F19" i="2"/>
  <c r="G19" i="2"/>
  <c r="H19" i="2"/>
  <c r="I19" i="2"/>
  <c r="J19" i="2"/>
  <c r="K19" i="2"/>
  <c r="L19" i="2"/>
  <c r="M19" i="2"/>
  <c r="N19" i="2"/>
  <c r="O19" i="2"/>
  <c r="B8" i="2"/>
  <c r="S8" i="2"/>
  <c r="B9" i="2"/>
  <c r="S9" i="2"/>
  <c r="B10" i="2"/>
  <c r="S10" i="2"/>
  <c r="B7" i="2"/>
  <c r="S7" i="2"/>
  <c r="F86" i="1"/>
  <c r="F3" i="4"/>
  <c r="A3" i="4"/>
  <c r="V11" i="1"/>
  <c r="X11" i="1"/>
  <c r="G12" i="1"/>
  <c r="N125" i="1"/>
  <c r="O125" i="1"/>
  <c r="P125" i="1"/>
  <c r="H12" i="1"/>
  <c r="M125" i="1"/>
  <c r="Y12" i="1"/>
  <c r="V13" i="1"/>
  <c r="X13" i="1"/>
  <c r="Y14" i="1"/>
  <c r="V15" i="1"/>
  <c r="X15" i="1"/>
  <c r="Y16" i="1"/>
  <c r="V17" i="1"/>
  <c r="X17" i="1"/>
  <c r="Y18" i="1"/>
  <c r="V19" i="1"/>
  <c r="X19" i="1"/>
  <c r="N123" i="1"/>
  <c r="O123" i="1"/>
  <c r="P123" i="1"/>
  <c r="G20" i="1"/>
  <c r="H20" i="1"/>
  <c r="Y20" i="1"/>
  <c r="V21" i="1"/>
  <c r="X21" i="1"/>
  <c r="Y22" i="1"/>
  <c r="V23" i="1"/>
  <c r="X23" i="1"/>
  <c r="G24" i="1"/>
  <c r="H24" i="1"/>
  <c r="Y24" i="1"/>
  <c r="X26" i="1"/>
  <c r="S29" i="1"/>
  <c r="S30" i="1"/>
  <c r="S31" i="1"/>
  <c r="S32" i="1"/>
  <c r="S33" i="1"/>
  <c r="S34" i="1"/>
  <c r="S35" i="1"/>
  <c r="S36" i="1"/>
  <c r="S37" i="1"/>
  <c r="S38" i="1"/>
  <c r="S44" i="1"/>
  <c r="S45" i="1"/>
  <c r="S46" i="1"/>
  <c r="S47" i="1"/>
  <c r="S48" i="1"/>
  <c r="S49" i="1"/>
  <c r="S50" i="1"/>
  <c r="S51" i="1"/>
  <c r="I55" i="1"/>
  <c r="G56" i="1"/>
  <c r="H56" i="1"/>
  <c r="I56" i="1"/>
  <c r="J56" i="1"/>
  <c r="K56" i="1"/>
  <c r="L56" i="1"/>
  <c r="M56" i="1"/>
  <c r="N56" i="1"/>
  <c r="O56" i="1"/>
  <c r="P56" i="1"/>
  <c r="Q56" i="1"/>
  <c r="R56" i="1"/>
  <c r="S59" i="1"/>
  <c r="S60" i="1"/>
  <c r="S76" i="1"/>
  <c r="S80" i="1"/>
  <c r="S83" i="1"/>
  <c r="S82" i="1"/>
  <c r="S86" i="1"/>
  <c r="S87" i="1"/>
  <c r="S88" i="1"/>
  <c r="H94" i="1"/>
  <c r="I94" i="1"/>
  <c r="J94" i="1"/>
  <c r="K94" i="1"/>
  <c r="L94" i="1"/>
  <c r="M94" i="1"/>
  <c r="N94" i="1"/>
  <c r="O94" i="1"/>
  <c r="P94" i="1"/>
  <c r="Q94" i="1"/>
  <c r="R94" i="1"/>
  <c r="S95" i="1"/>
  <c r="S97" i="1"/>
  <c r="H103" i="1"/>
  <c r="I103" i="1"/>
  <c r="J103" i="1"/>
  <c r="K103" i="1"/>
  <c r="L103" i="1"/>
  <c r="M103" i="1"/>
  <c r="N103" i="1"/>
  <c r="O103" i="1"/>
  <c r="P103" i="1"/>
  <c r="Q103" i="1"/>
  <c r="R103" i="1"/>
  <c r="S117" i="1"/>
  <c r="S118" i="1"/>
  <c r="M123" i="1"/>
  <c r="N124" i="1"/>
  <c r="M124" i="1"/>
  <c r="O124" i="1"/>
  <c r="P124" i="1"/>
  <c r="H128" i="1"/>
  <c r="I128" i="1"/>
  <c r="J128" i="1"/>
  <c r="D5" i="2"/>
  <c r="E5" i="2"/>
  <c r="F5" i="2"/>
  <c r="G5" i="2"/>
  <c r="H5" i="2"/>
  <c r="I5" i="2"/>
  <c r="J5" i="2"/>
  <c r="K5" i="2"/>
  <c r="L5" i="2"/>
  <c r="M5" i="2"/>
  <c r="N5" i="2"/>
  <c r="O5" i="2"/>
  <c r="P19" i="2"/>
  <c r="D20" i="2"/>
  <c r="E20" i="2"/>
  <c r="F20" i="2"/>
  <c r="G20" i="2"/>
  <c r="H20" i="2"/>
  <c r="I20" i="2"/>
  <c r="J20" i="2"/>
  <c r="K20" i="2"/>
  <c r="L20" i="2"/>
  <c r="M20" i="2"/>
  <c r="N20" i="2"/>
  <c r="O20" i="2"/>
  <c r="P20" i="2"/>
  <c r="Q22" i="2"/>
  <c r="B23" i="2"/>
  <c r="D23" i="2"/>
  <c r="E23" i="2"/>
  <c r="F23" i="2"/>
  <c r="G23" i="2"/>
  <c r="H23" i="2"/>
  <c r="I23" i="2"/>
  <c r="J23" i="2"/>
  <c r="K23" i="2"/>
  <c r="L23" i="2"/>
  <c r="M23" i="2"/>
  <c r="N23" i="2"/>
  <c r="S23" i="2"/>
  <c r="B24" i="2"/>
  <c r="S24" i="2"/>
  <c r="B26" i="2"/>
  <c r="S26" i="2"/>
  <c r="B27" i="2"/>
  <c r="S27" i="2"/>
  <c r="B28" i="2"/>
  <c r="S28" i="2"/>
  <c r="B29" i="2"/>
  <c r="S29" i="2"/>
  <c r="B30" i="2"/>
  <c r="S30" i="2"/>
  <c r="B31" i="2"/>
  <c r="S31" i="2"/>
  <c r="B32" i="2"/>
  <c r="S32" i="2"/>
  <c r="B33" i="2"/>
  <c r="S33" i="2"/>
  <c r="B34" i="2"/>
  <c r="S34" i="2"/>
  <c r="B35" i="2"/>
  <c r="S35" i="2"/>
  <c r="S37" i="2"/>
  <c r="B39" i="2"/>
  <c r="S39" i="2"/>
  <c r="AE7" i="4"/>
  <c r="AD11" i="4"/>
  <c r="AD13" i="4"/>
  <c r="B8" i="6"/>
  <c r="A11" i="6"/>
  <c r="J11" i="6"/>
  <c r="A12" i="6"/>
  <c r="J12" i="6"/>
  <c r="A13" i="6"/>
  <c r="J13" i="6"/>
  <c r="A14" i="6"/>
  <c r="J14" i="6"/>
  <c r="A15" i="6"/>
  <c r="J15" i="6"/>
  <c r="J16" i="6"/>
  <c r="J19" i="6"/>
  <c r="J22" i="6"/>
  <c r="J24" i="6"/>
  <c r="G3" i="6"/>
  <c r="L43" i="6"/>
  <c r="L45" i="6"/>
  <c r="A46" i="6"/>
  <c r="L46" i="6"/>
  <c r="L47" i="6"/>
  <c r="L49" i="6"/>
  <c r="L50" i="6"/>
  <c r="L52" i="6"/>
  <c r="C7" i="10"/>
  <c r="D7" i="10"/>
  <c r="E7" i="10"/>
  <c r="D9" i="10"/>
  <c r="E9" i="10"/>
  <c r="E13" i="10"/>
  <c r="D14" i="10"/>
  <c r="E14" i="10"/>
  <c r="D15" i="10"/>
  <c r="E15" i="10"/>
  <c r="D16" i="10"/>
  <c r="E16" i="10"/>
  <c r="D18" i="10"/>
  <c r="E18" i="10"/>
  <c r="D22" i="10"/>
  <c r="E22" i="10"/>
  <c r="D26" i="10"/>
  <c r="E26" i="10"/>
  <c r="D27" i="10"/>
  <c r="E27" i="10"/>
  <c r="D28" i="10"/>
  <c r="E28" i="10"/>
  <c r="D30" i="10"/>
  <c r="E30" i="10"/>
  <c r="A31" i="10"/>
  <c r="D31" i="10"/>
  <c r="E31" i="10"/>
  <c r="A32" i="10"/>
  <c r="D32" i="10"/>
  <c r="E32" i="10"/>
  <c r="A33" i="10"/>
  <c r="D33" i="10"/>
  <c r="E33" i="10"/>
  <c r="E43" i="10"/>
  <c r="I12" i="1"/>
  <c r="J12" i="1"/>
  <c r="K12" i="1"/>
  <c r="L12" i="1"/>
  <c r="M12" i="1"/>
  <c r="N12" i="1"/>
  <c r="O12" i="1"/>
  <c r="P12" i="1"/>
  <c r="Q12" i="1"/>
  <c r="R12" i="1"/>
  <c r="S12" i="1"/>
  <c r="W12" i="1"/>
  <c r="S14" i="1"/>
  <c r="W14" i="1"/>
  <c r="S16" i="1"/>
  <c r="W16" i="1"/>
  <c r="S18" i="1"/>
  <c r="W18" i="1"/>
  <c r="I20" i="1"/>
  <c r="J20" i="1"/>
  <c r="K20" i="1"/>
  <c r="L20" i="1"/>
  <c r="M20" i="1"/>
  <c r="N20" i="1"/>
  <c r="O20" i="1"/>
  <c r="P20" i="1"/>
  <c r="Q20" i="1"/>
  <c r="R20" i="1"/>
  <c r="S20" i="1"/>
  <c r="W20" i="1"/>
  <c r="S22" i="1"/>
  <c r="W22" i="1"/>
  <c r="I24" i="1"/>
  <c r="J24" i="1"/>
  <c r="K24" i="1"/>
  <c r="L24" i="1"/>
  <c r="M24" i="1"/>
  <c r="N24" i="1"/>
  <c r="O24" i="1"/>
  <c r="P24" i="1"/>
  <c r="Q24" i="1"/>
  <c r="R24" i="1"/>
  <c r="S24" i="1"/>
  <c r="W24" i="1"/>
  <c r="S25" i="1"/>
  <c r="S40" i="1"/>
  <c r="S41" i="1"/>
  <c r="S42" i="1"/>
  <c r="S102" i="1"/>
  <c r="T54" i="2"/>
  <c r="P41" i="2"/>
  <c r="D57" i="2"/>
  <c r="E57" i="2"/>
  <c r="F57" i="2"/>
  <c r="G57" i="2"/>
  <c r="H57" i="2"/>
  <c r="I57" i="2"/>
  <c r="J57" i="2"/>
  <c r="K57" i="2"/>
  <c r="L57" i="2"/>
  <c r="M57" i="2"/>
  <c r="N57" i="2"/>
  <c r="O57" i="2"/>
  <c r="P57" i="2"/>
  <c r="D62" i="2"/>
  <c r="E62" i="2"/>
  <c r="F62" i="2"/>
  <c r="G62" i="2"/>
  <c r="H62" i="2"/>
  <c r="I62" i="2"/>
  <c r="J62" i="2"/>
  <c r="K62" i="2"/>
  <c r="L62" i="2"/>
  <c r="M62" i="2"/>
  <c r="N62" i="2"/>
  <c r="O62" i="2"/>
  <c r="P62" i="2"/>
  <c r="D63" i="2"/>
  <c r="E63" i="2"/>
  <c r="F63" i="2"/>
  <c r="G63" i="2"/>
  <c r="H63" i="2"/>
  <c r="I63" i="2"/>
  <c r="J63" i="2"/>
  <c r="K63" i="2"/>
  <c r="L63" i="2"/>
  <c r="M63" i="2"/>
  <c r="N63" i="2"/>
  <c r="O63" i="2"/>
  <c r="P63" i="2"/>
  <c r="T63" i="2"/>
  <c r="U63" i="2"/>
  <c r="V63" i="2"/>
  <c r="W63" i="2"/>
  <c r="X63" i="2"/>
  <c r="D65" i="2"/>
  <c r="E65" i="2"/>
  <c r="F65" i="2"/>
  <c r="G65" i="2"/>
  <c r="H65" i="2"/>
  <c r="I65" i="2"/>
  <c r="J65" i="2"/>
  <c r="K65" i="2"/>
  <c r="L65" i="2"/>
  <c r="M65" i="2"/>
  <c r="N65" i="2"/>
  <c r="O65" i="2"/>
  <c r="P65" i="2"/>
  <c r="T70" i="2"/>
  <c r="D26" i="3"/>
  <c r="E26" i="3"/>
  <c r="F26" i="3"/>
  <c r="G26" i="3"/>
  <c r="H26" i="3"/>
  <c r="D32" i="3"/>
  <c r="E32" i="3"/>
  <c r="F32" i="3"/>
  <c r="G32" i="3"/>
  <c r="H32" i="3"/>
  <c r="D40" i="3"/>
  <c r="E40" i="3"/>
  <c r="F40" i="3"/>
  <c r="G40" i="3"/>
  <c r="H40" i="3"/>
  <c r="D43" i="3"/>
  <c r="E43" i="3"/>
  <c r="F43" i="3"/>
  <c r="G43" i="3"/>
  <c r="H43" i="3"/>
  <c r="D45" i="3"/>
  <c r="E45" i="3"/>
  <c r="F45" i="3"/>
  <c r="G45" i="3"/>
  <c r="H45" i="3"/>
  <c r="D55" i="3"/>
  <c r="E55" i="3"/>
  <c r="F55" i="3"/>
  <c r="G55" i="3"/>
  <c r="H55" i="3"/>
  <c r="G53" i="4"/>
  <c r="Q53" i="4"/>
  <c r="G56" i="4"/>
  <c r="Q57" i="4"/>
</calcChain>
</file>

<file path=xl/sharedStrings.xml><?xml version="1.0" encoding="utf-8"?>
<sst xmlns="http://schemas.openxmlformats.org/spreadsheetml/2006/main" count="747" uniqueCount="550">
  <si>
    <t>To Review Details, Contact Bill James, 612.414.4211 or bill.james@jpods.com</t>
  </si>
  <si>
    <t>b.</t>
  </si>
  <si>
    <t>http://www.google.com/publicdata?ds=uspopulation&amp;met=population&amp;tdim=true&amp;dl=en&amp;hl=en&amp;q=Population+of+us</t>
  </si>
  <si>
    <t>Millions</t>
  </si>
  <si>
    <t>All types of Highway miles are included as a way of including some value from carrying freight</t>
  </si>
  <si>
    <t>Profits per person in an LMC</t>
  </si>
  <si>
    <t xml:space="preserve">Between 2002 and 2006 gas prices increaced from </t>
  </si>
  <si>
    <t>$1.45 per gallon to $2.92, reducing disposable income</t>
  </si>
  <si>
    <t>by about $2,000 per family</t>
  </si>
  <si>
    <t>Economic loss to the community indicated in table to left</t>
  </si>
  <si>
    <t>As JPods deploys networks in greater density, we</t>
  </si>
  <si>
    <t xml:space="preserve">can dramatically increase disposable income and </t>
  </si>
  <si>
    <t>profits.</t>
  </si>
  <si>
    <t>Mechanical vibrator- $100.00/HR</t>
  </si>
  <si>
    <t>Admin</t>
  </si>
  <si>
    <t>Accounting</t>
  </si>
  <si>
    <t>Sales</t>
  </si>
  <si>
    <t>Office Space</t>
  </si>
  <si>
    <t>Equipment</t>
  </si>
  <si>
    <t>Monthly</t>
  </si>
  <si>
    <t>MonthTotal</t>
  </si>
  <si>
    <t>Fring</t>
  </si>
  <si>
    <t>Cost of Goods</t>
  </si>
  <si>
    <t>Debt Service</t>
  </si>
  <si>
    <t>Travel per person (miles/yr)</t>
  </si>
  <si>
    <t>Low Desity</t>
  </si>
  <si>
    <t>High Density</t>
  </si>
  <si>
    <t>Charge per passenger mile</t>
  </si>
  <si>
    <t>Highway Miles</t>
  </si>
  <si>
    <t>Population of US</t>
  </si>
  <si>
    <t>Cost of People</t>
  </si>
  <si>
    <t>Cummulative</t>
  </si>
  <si>
    <t>Price</t>
  </si>
  <si>
    <t>$</t>
  </si>
  <si>
    <t>Profits</t>
  </si>
  <si>
    <t>Insurance, Operating</t>
  </si>
  <si>
    <t>Revenue Streams</t>
  </si>
  <si>
    <t>Total Revenues</t>
  </si>
  <si>
    <t>Expenses</t>
  </si>
  <si>
    <t>Pretax Profits</t>
  </si>
  <si>
    <t>Year1</t>
  </si>
  <si>
    <t>Year2</t>
  </si>
  <si>
    <t>Year3</t>
  </si>
  <si>
    <t>Year4</t>
  </si>
  <si>
    <t>Year5</t>
  </si>
  <si>
    <t>ASSETS</t>
  </si>
  <si>
    <t/>
  </si>
  <si>
    <t>Current Assets</t>
  </si>
  <si>
    <t>Cash</t>
  </si>
  <si>
    <t>Accounts Receivable</t>
  </si>
  <si>
    <t>Engineer</t>
  </si>
  <si>
    <t>Mail order</t>
  </si>
  <si>
    <t>Management</t>
  </si>
  <si>
    <t>Network Fundamentals</t>
  </si>
  <si>
    <t>Operational Days</t>
  </si>
  <si>
    <t>People per mile</t>
  </si>
  <si>
    <t>relative</t>
  </si>
  <si>
    <t>Depreciation</t>
  </si>
  <si>
    <t>Depreciation Period</t>
  </si>
  <si>
    <t>Long Term Debt</t>
  </si>
  <si>
    <t>Accrued Expenses</t>
  </si>
  <si>
    <t>Debt Payments</t>
  </si>
  <si>
    <t>PowerRail</t>
  </si>
  <si>
    <t>Station</t>
  </si>
  <si>
    <t>Truss</t>
  </si>
  <si>
    <t>Bogie</t>
  </si>
  <si>
    <t>Placement</t>
  </si>
  <si>
    <t>Footings estimated by Clay Armstrong</t>
  </si>
  <si>
    <t>4.8 m * 4.8 m * .7m</t>
  </si>
  <si>
    <t>•</t>
  </si>
  <si>
    <t>20 yd of 3000 PSI Concrete @ $100.00/yd(Pad)</t>
  </si>
  <si>
    <t>4 yd of 3000 PSI Concrete @ $100.00/yd(Pier)</t>
  </si>
  <si>
    <t>Value of a developed LMC at a 4 PE</t>
  </si>
  <si>
    <t>and above</t>
  </si>
  <si>
    <t>Development Discount</t>
  </si>
  <si>
    <t>Time traveling per day by car</t>
  </si>
  <si>
    <t>http://www.bts.gov/publications/national_transportation_statistics/html/table_01_37.html</t>
  </si>
  <si>
    <t>License Bonus</t>
  </si>
  <si>
    <t>Revenue from Operations</t>
  </si>
  <si>
    <t>a.</t>
  </si>
  <si>
    <t>Trackhoe w/operator @ $120.00/HR</t>
  </si>
  <si>
    <t>Clean out excavated hole-3 laborer @ $10</t>
  </si>
  <si>
    <t>Step 2 will take 1 hour, work performed in different area</t>
  </si>
  <si>
    <t>Form rebar grids-3 people @$10.00/HR</t>
  </si>
  <si>
    <t>Key assumptions and risks in the following JPods LaGuardia Proforma</t>
  </si>
  <si>
    <t>Pour and trial concrete-3 laborers@ 10/HR</t>
  </si>
  <si>
    <t>Wet set anchor bolts</t>
  </si>
  <si>
    <t>PR</t>
  </si>
  <si>
    <t>Control Systems</t>
  </si>
  <si>
    <t>Tickets</t>
  </si>
  <si>
    <t>Sponsorships</t>
  </si>
  <si>
    <t>Licensing</t>
  </si>
  <si>
    <t>Accumulated Depreciation</t>
  </si>
  <si>
    <t>Net Property and Equipment</t>
  </si>
  <si>
    <t>Expenses People</t>
  </si>
  <si>
    <t>Other Assets</t>
  </si>
  <si>
    <t>Total Other Assets</t>
  </si>
  <si>
    <t>Total Assets</t>
  </si>
  <si>
    <t>LIABILITIES AND CAPITAL</t>
  </si>
  <si>
    <t>Current Liabilities</t>
  </si>
  <si>
    <t>Accounts Payable</t>
  </si>
  <si>
    <t>Customer Deposits Received</t>
  </si>
  <si>
    <t>Total Current Liabilities</t>
  </si>
  <si>
    <t>Capital</t>
  </si>
  <si>
    <t>Member's Equity</t>
  </si>
  <si>
    <t>Paid In Capital</t>
  </si>
  <si>
    <t>Retained Earnings</t>
  </si>
  <si>
    <t>Net Income</t>
  </si>
  <si>
    <t>Total Capital</t>
  </si>
  <si>
    <t>Total Liabilities &amp; Capital</t>
  </si>
  <si>
    <t>Year 2</t>
  </si>
  <si>
    <t>Year 1</t>
  </si>
  <si>
    <t>Year 3</t>
  </si>
  <si>
    <t>Year 4</t>
  </si>
  <si>
    <t>Year 5</t>
  </si>
  <si>
    <t>Day 0</t>
  </si>
  <si>
    <t>Totals</t>
  </si>
  <si>
    <t>Facility Expense</t>
  </si>
  <si>
    <t>People per trip</t>
  </si>
  <si>
    <t>Base Pay and Bonus Structure</t>
  </si>
  <si>
    <t>Category</t>
  </si>
  <si>
    <t>Operational</t>
  </si>
  <si>
    <t>Summary</t>
  </si>
  <si>
    <t>Head Count</t>
  </si>
  <si>
    <t>VAC</t>
  </si>
  <si>
    <t>single phase</t>
  </si>
  <si>
    <t>Total rail needed is</t>
  </si>
  <si>
    <t>paths  x</t>
  </si>
  <si>
    <t>power rail</t>
  </si>
  <si>
    <t>km path x</t>
  </si>
  <si>
    <t>m</t>
  </si>
  <si>
    <t>path</t>
  </si>
  <si>
    <t>km</t>
  </si>
  <si>
    <r>
      <t>Quotation #</t>
    </r>
    <r>
      <rPr>
        <sz val="10"/>
        <color indexed="12"/>
        <rFont val="Century Gothic"/>
        <family val="2"/>
      </rPr>
      <t xml:space="preserve"> 10-0324-Q229</t>
    </r>
  </si>
  <si>
    <t>3575 Foxwood Ct.</t>
  </si>
  <si>
    <t>Innovative-Professional-Passionate</t>
  </si>
  <si>
    <t>Strip all concrete forms</t>
  </si>
  <si>
    <t>Data from Le Jeune Steel</t>
  </si>
  <si>
    <t>38" Support Columns with HSS 14X10 beam at top (7,500 lbs)</t>
  </si>
  <si>
    <t xml:space="preserve"> / Ea</t>
  </si>
  <si>
    <t> </t>
  </si>
  <si>
    <t>JPods are ultra-light robotic vehicles that travel suspended from an over head rail.</t>
  </si>
  <si>
    <t>Travel</t>
  </si>
  <si>
    <t>People</t>
  </si>
  <si>
    <t>Communications</t>
  </si>
  <si>
    <t>Yearly Pay Avg</t>
  </si>
  <si>
    <t>1st 5 mon</t>
  </si>
  <si>
    <t>Utilities</t>
  </si>
  <si>
    <t>Consulting</t>
  </si>
  <si>
    <t>Office Supplies</t>
  </si>
  <si>
    <t>Repairs and Maintenance</t>
  </si>
  <si>
    <t>Insurance</t>
  </si>
  <si>
    <t>Vehicle</t>
  </si>
  <si>
    <t>hc</t>
  </si>
  <si>
    <t>rent</t>
  </si>
  <si>
    <t>Industry</t>
  </si>
  <si>
    <t>Aug</t>
  </si>
  <si>
    <t>Sep</t>
  </si>
  <si>
    <t>Oct</t>
  </si>
  <si>
    <t>Nov</t>
  </si>
  <si>
    <t>Dec</t>
  </si>
  <si>
    <t>Jan</t>
  </si>
  <si>
    <t>Discount based on early leadership forming LMC</t>
  </si>
  <si>
    <t>Discount based on early payment for LMC</t>
  </si>
  <si>
    <t xml:space="preserve">JPods can </t>
  </si>
  <si>
    <t>Recover</t>
  </si>
  <si>
    <t>per year</t>
  </si>
  <si>
    <t>Economic Loss JPods can Recover per Year</t>
  </si>
  <si>
    <t>Murraysville, PA 15668</t>
  </si>
  <si>
    <t>=</t>
  </si>
  <si>
    <t>Days of Operation</t>
  </si>
  <si>
    <t>Mail Order</t>
  </si>
  <si>
    <t>CoG</t>
  </si>
  <si>
    <t>Licensing &amp; Sponsors</t>
  </si>
  <si>
    <t>Cost of Licensing</t>
  </si>
  <si>
    <t>Structures</t>
  </si>
  <si>
    <t>Cost each</t>
  </si>
  <si>
    <t>Qty</t>
  </si>
  <si>
    <t>Spans</t>
  </si>
  <si>
    <t>Hours of Operation</t>
  </si>
  <si>
    <t>Spans, curved</t>
  </si>
  <si>
    <t>Trips per hour</t>
  </si>
  <si>
    <t>Peirs</t>
  </si>
  <si>
    <t>Cost per trip</t>
  </si>
  <si>
    <t>Footings, Peirs</t>
  </si>
  <si>
    <t>Revenue per day</t>
  </si>
  <si>
    <t>Days of operation</t>
  </si>
  <si>
    <t>Bogies</t>
  </si>
  <si>
    <t>Cleaning system</t>
  </si>
  <si>
    <t>People per station</t>
  </si>
  <si>
    <t>Platform</t>
  </si>
  <si>
    <t>Stairs</t>
  </si>
  <si>
    <t>Barriers</t>
  </si>
  <si>
    <t>Switches</t>
  </si>
  <si>
    <t xml:space="preserve">Maintenance </t>
  </si>
  <si>
    <t>Security</t>
  </si>
  <si>
    <t>Lift</t>
  </si>
  <si>
    <t>Controls</t>
  </si>
  <si>
    <t>Computer</t>
  </si>
  <si>
    <t>Power</t>
  </si>
  <si>
    <t>Collectors</t>
  </si>
  <si>
    <t>Basis of License Fee</t>
  </si>
  <si>
    <t>60-90 min</t>
  </si>
  <si>
    <t>35/50 -</t>
  </si>
  <si>
    <t>Steel-Copperhead Rail</t>
  </si>
  <si>
    <t>100047.Z1</t>
  </si>
  <si>
    <t>Hot Galvanized</t>
  </si>
  <si>
    <t xml:space="preserve">ea </t>
  </si>
  <si>
    <t>Year for construction bonds</t>
  </si>
  <si>
    <t>Rails constructed</t>
  </si>
  <si>
    <t>System Costs</t>
  </si>
  <si>
    <t>22 # 10 Rebar</t>
  </si>
  <si>
    <t>28 #9 Rebar</t>
  </si>
  <si>
    <t>28 #5 Rebar</t>
  </si>
  <si>
    <t>20 #4 Rebar</t>
  </si>
  <si>
    <t>10-25 mm anchor bolts w/nuts &amp; washers</t>
  </si>
  <si>
    <t>Ties to join all rebar together</t>
  </si>
  <si>
    <t>Wood material and barrels to form pier</t>
  </si>
  <si>
    <t>Labor</t>
  </si>
  <si>
    <t>Job Foreman @32.00/HR</t>
  </si>
  <si>
    <t xml:space="preserve">Step 1 will take 1 hour,excavate 640 cubic feet </t>
  </si>
  <si>
    <t>tsales</t>
  </si>
  <si>
    <t>Fringe</t>
  </si>
  <si>
    <t>Revenue Per Person</t>
  </si>
  <si>
    <t>Value of 20% of annual travel costs per person</t>
  </si>
  <si>
    <t>Value if 50% of their travel is by JPods</t>
  </si>
  <si>
    <t>Define</t>
  </si>
  <si>
    <t>Gross Revenue</t>
  </si>
  <si>
    <t>Inventory</t>
  </si>
  <si>
    <t>Deposits with Vendors</t>
  </si>
  <si>
    <t>Total Current Assets</t>
  </si>
  <si>
    <t>Property and Equipment</t>
  </si>
  <si>
    <t>Engineering</t>
  </si>
  <si>
    <t>Operations</t>
  </si>
  <si>
    <t>Acct/Purchase/Finance</t>
  </si>
  <si>
    <t>Maintenance</t>
  </si>
  <si>
    <t>Constuction</t>
  </si>
  <si>
    <t>Atlanta, GA</t>
  </si>
  <si>
    <t>Austin--San Marcos, TX</t>
  </si>
  <si>
    <t>Step 3 to start immediately after step 1, use the trackhoe to set already formed rebar  in place</t>
  </si>
  <si>
    <t>Form up for concrete-3laborers</t>
  </si>
  <si>
    <t xml:space="preserve"> @$10</t>
  </si>
  <si>
    <t>Set rebar in place</t>
  </si>
  <si>
    <t>Step 4 to start after inspection</t>
  </si>
  <si>
    <t>Charlotte--Gastonia--Rock Hill, NC--SC</t>
  </si>
  <si>
    <t>Chicago--Gary--Kenosha, IL--IN--WI</t>
  </si>
  <si>
    <t>Cincinnati--Hamilton, OH--KY--IN</t>
  </si>
  <si>
    <t>Cleveland--Akron, OH</t>
  </si>
  <si>
    <t>Columbus, OH</t>
  </si>
  <si>
    <t>Dallas--Fort Worth, TX</t>
  </si>
  <si>
    <t>Denver--Boulder--Greeley, CO</t>
  </si>
  <si>
    <t>Detroit--Ann Arbor--Flint, MI</t>
  </si>
  <si>
    <t>Grand Rapids--Muskegon--Holland, MI</t>
  </si>
  <si>
    <t>Greensboro--Winston-Salem--High Point, NC</t>
  </si>
  <si>
    <t>Hartford, CT</t>
  </si>
  <si>
    <t>Honolulu, HI</t>
  </si>
  <si>
    <t>Houston--Galveston--Brazoria, TX</t>
  </si>
  <si>
    <t>Indianapolis, IN</t>
  </si>
  <si>
    <t>Jacksonville, FL</t>
  </si>
  <si>
    <t>Kansas City, MO--KS</t>
  </si>
  <si>
    <t>Las Vegas, NV--AZ</t>
  </si>
  <si>
    <t>Los Angeles--Riverside--Orange County, CA</t>
  </si>
  <si>
    <t>Louisville, KY--IN</t>
  </si>
  <si>
    <t>Memphis, TN--AR--MS</t>
  </si>
  <si>
    <t>Miami--Fort Lauderdale, FL</t>
  </si>
  <si>
    <t>Milwaukee--Racine, WI</t>
  </si>
  <si>
    <t>Network Size</t>
  </si>
  <si>
    <t>Preliminary Engineering / Connection Design                    4    Weeks</t>
  </si>
  <si>
    <t>Quantity</t>
  </si>
  <si>
    <t>Vahle Item</t>
  </si>
  <si>
    <t>Description</t>
  </si>
  <si>
    <t>Cat. No.</t>
  </si>
  <si>
    <t>Notes</t>
  </si>
  <si>
    <t>L20 / 100 -7</t>
  </si>
  <si>
    <t>Copperhead steel rail</t>
  </si>
  <si>
    <t>100 037</t>
  </si>
  <si>
    <t>m lengths</t>
  </si>
  <si>
    <t>DLM 20 /100</t>
  </si>
  <si>
    <t>Expansion Joint</t>
  </si>
  <si>
    <t>100 190</t>
  </si>
  <si>
    <t>rails per expansion joint</t>
  </si>
  <si>
    <t>BLM 20 /14-100</t>
  </si>
  <si>
    <t>Ridgid Joint</t>
  </si>
  <si>
    <t>100 510</t>
  </si>
  <si>
    <t>SD 20</t>
  </si>
  <si>
    <t>Rail Holder</t>
  </si>
  <si>
    <t>101 180</t>
  </si>
  <si>
    <t>m between centers</t>
  </si>
  <si>
    <t>D80</t>
  </si>
  <si>
    <t>Insulator</t>
  </si>
  <si>
    <t>101 380</t>
  </si>
  <si>
    <t>CU 20 / 100</t>
  </si>
  <si>
    <t>Feeder Clamps</t>
  </si>
  <si>
    <t>104 860</t>
  </si>
  <si>
    <t>GSV 1</t>
  </si>
  <si>
    <t>Current Collector</t>
  </si>
  <si>
    <t>102 090</t>
  </si>
  <si>
    <t>2 per bogie</t>
  </si>
  <si>
    <t>20 bogies</t>
  </si>
  <si>
    <t>uncertainty</t>
  </si>
  <si>
    <t>VAHLE INC    •    1169 Brittmoore    •    Houston, TX  77043   •    Phone  713/465-9796   •   FAX  713/465-1851</t>
  </si>
  <si>
    <t>JPODS, Inc.</t>
  </si>
  <si>
    <t>http://www.vahle.de/en/index.php?option=com_content&amp;task=view&amp;id=73&amp;Itemid=397</t>
  </si>
  <si>
    <t>Power Rails are Separated into Maximum</t>
  </si>
  <si>
    <t>m sections</t>
  </si>
  <si>
    <t>Vahle Conductor System</t>
  </si>
  <si>
    <r>
      <t>Attn:</t>
    </r>
    <r>
      <rPr>
        <sz val="10"/>
        <color indexed="12"/>
        <rFont val="Century Gothic"/>
        <family val="2"/>
      </rPr>
      <t xml:space="preserve"> Mr. Gordon Israelson</t>
    </r>
  </si>
  <si>
    <t>March 24, 2010</t>
  </si>
  <si>
    <t>We are pleased to quote as follows:</t>
  </si>
  <si>
    <t>Losses</t>
  </si>
  <si>
    <t>LaunchBonus</t>
  </si>
  <si>
    <t>Loss Cap</t>
  </si>
  <si>
    <t>$Loss Cap</t>
  </si>
  <si>
    <t>Month 5+</t>
  </si>
  <si>
    <t>Applies after month 5</t>
  </si>
  <si>
    <t>per vahle catalog 1a Copperhead Conductor System</t>
  </si>
  <si>
    <t>Item</t>
  </si>
  <si>
    <t xml:space="preserve">     Description</t>
  </si>
  <si>
    <t>Catalog #</t>
  </si>
  <si>
    <t>Unit Price</t>
  </si>
  <si>
    <t xml:space="preserve">Extended </t>
  </si>
  <si>
    <t>pcs</t>
  </si>
  <si>
    <t>F</t>
  </si>
  <si>
    <t>Jun</t>
  </si>
  <si>
    <t>Jul</t>
  </si>
  <si>
    <t>Orlando, FL</t>
  </si>
  <si>
    <t>Philadelphia--Wilmington--Atlantic City,PA--NJ--DE--MD</t>
  </si>
  <si>
    <t>Feb</t>
  </si>
  <si>
    <t>Mar</t>
  </si>
  <si>
    <t>Apr</t>
  </si>
  <si>
    <t>May</t>
  </si>
  <si>
    <t>Struction</t>
  </si>
  <si>
    <t>Solar</t>
  </si>
  <si>
    <t>Stations</t>
  </si>
  <si>
    <t>Vehicles</t>
  </si>
  <si>
    <t>Portland--Salem, OR--WA</t>
  </si>
  <si>
    <t>Providence--Fall River--Warwick, RI--MA</t>
  </si>
  <si>
    <t>Raleigh--Durham--Chapel Hill, NC</t>
  </si>
  <si>
    <t>Rochester, NY</t>
  </si>
  <si>
    <t>Sacramento--Yolo, CA</t>
  </si>
  <si>
    <t>Salt Lake City--Ogden, UT</t>
  </si>
  <si>
    <t>San Antonio, TX</t>
  </si>
  <si>
    <t>San Diego, CA</t>
  </si>
  <si>
    <t>San Francisco--Oakland--San Jose, CA</t>
  </si>
  <si>
    <t>Seattle--Tacoma--Bremerton, WA</t>
  </si>
  <si>
    <t>St. Louis, MO--IL</t>
  </si>
  <si>
    <t>Tampa--St. Petersburg--Clearwater, FL</t>
  </si>
  <si>
    <t>Washington--Baltimore, DC--MD--VA--WV</t>
  </si>
  <si>
    <t>West Palm Beach--Boca Raton, FL</t>
  </si>
  <si>
    <t>per car</t>
  </si>
  <si>
    <t>per family</t>
  </si>
  <si>
    <t xml:space="preserve">One Driver </t>
  </si>
  <si>
    <t>Economic Loss</t>
  </si>
  <si>
    <t>Cost per mile</t>
  </si>
  <si>
    <t>Cost/person/year</t>
  </si>
  <si>
    <t>Number of people</t>
  </si>
  <si>
    <t>What travel costs each person per year</t>
  </si>
  <si>
    <t>Cost per mile of travel</t>
  </si>
  <si>
    <t>Number of miles traveled</t>
  </si>
  <si>
    <t>Traveler Market Share, year 5</t>
  </si>
  <si>
    <t>Traveler Usage Per Cent</t>
  </si>
  <si>
    <t>SD</t>
  </si>
  <si>
    <t>ea</t>
  </si>
  <si>
    <t>VHB</t>
  </si>
  <si>
    <t>Phase Insulator</t>
  </si>
  <si>
    <t>GSV</t>
  </si>
  <si>
    <t>Phase Collector</t>
  </si>
  <si>
    <t>Total:</t>
  </si>
  <si>
    <t>25% System Discount:</t>
  </si>
  <si>
    <t>Copper Surcharge:</t>
  </si>
  <si>
    <t>Net Total:</t>
  </si>
  <si>
    <t>Delivery:</t>
  </si>
  <si>
    <t>approximately 10-12 weeks</t>
  </si>
  <si>
    <t>Price:</t>
  </si>
  <si>
    <t>FOB VAHLE, Houston; valid 30 days</t>
  </si>
  <si>
    <t xml:space="preserve">Please note that the Copperhead Rail is a special order item and </t>
  </si>
  <si>
    <t>can not be returned for credit.</t>
  </si>
  <si>
    <t>Our Terms and Conditions of Sales are listed on our website at www.vahleinc.com or</t>
  </si>
  <si>
    <t>http://www.vahleinc.com/docs/ConditionsofSale2008.pdf</t>
  </si>
  <si>
    <t>We would very much appreciate receiving your order and remain,</t>
  </si>
  <si>
    <t>With best regards,</t>
  </si>
  <si>
    <t>VAHLE, Inc.</t>
  </si>
  <si>
    <t>Marvin G. Minton</t>
  </si>
  <si>
    <t>via email</t>
  </si>
  <si>
    <t>JPods License Fee</t>
  </si>
  <si>
    <t>Compliance Fee</t>
  </si>
  <si>
    <t>See map to the right</t>
  </si>
  <si>
    <t>Facility/Structural</t>
  </si>
  <si>
    <t>Profit to LMC when profits are 20% of LMC Costs</t>
  </si>
  <si>
    <t xml:space="preserve">30M Span - Straight (7300 lbs)                                                                 </t>
  </si>
  <si>
    <t>30M Span - Curved (7300 lbs)</t>
  </si>
  <si>
    <t>Lead times:</t>
  </si>
  <si>
    <t>P/E per person of the value of LMC</t>
  </si>
  <si>
    <t>Number of people in an LMC</t>
  </si>
  <si>
    <t>Signing fee for LMC, .04% of future value</t>
  </si>
  <si>
    <t>Value of LMC</t>
  </si>
  <si>
    <t>Price of LMC with a Leadership Discount based on signing group</t>
  </si>
  <si>
    <t>Boston--Worcester--Lawrence, MA--NH--ME--CT</t>
  </si>
  <si>
    <t>Buffalo--Niagara Falls, NY</t>
  </si>
  <si>
    <t>License Cost for first 10 LMC's, Discounted 99%</t>
  </si>
  <si>
    <t>License Cost for 11-30 LMC's, Discounted 97%</t>
  </si>
  <si>
    <t>License Cost for 31-50 LMC's, Discounted 94%</t>
  </si>
  <si>
    <t>License Cost for 51-70 LMC's, Discounted 90%</t>
  </si>
  <si>
    <t>Price Earnings Ratio</t>
  </si>
  <si>
    <t>License Fee at Commitment</t>
  </si>
  <si>
    <t>Due at license agreement</t>
  </si>
  <si>
    <t>First 5 get an equal value of JPods stock</t>
  </si>
  <si>
    <t>Deferred License Fee, Due when annual revenues reach $10 per capita in LMC</t>
  </si>
  <si>
    <t>or w/in 16 weeks</t>
  </si>
  <si>
    <t>or w/in 26 weeks</t>
  </si>
  <si>
    <t>"J" Prize, Bonus for Leadership</t>
  </si>
  <si>
    <t>First 5 LMCs</t>
  </si>
  <si>
    <t>Build 5 miles of rail per 100k people in LMC</t>
  </si>
  <si>
    <t>Other required products</t>
  </si>
  <si>
    <t>50 meter demonstration</t>
  </si>
  <si>
    <t>Compliance fees</t>
  </si>
  <si>
    <t>of revenues</t>
  </si>
  <si>
    <t>Comparison Value based on gas changing in price from $1.45 to $2.92</t>
  </si>
  <si>
    <t>Metropolitan Area</t>
  </si>
  <si>
    <t>Miles per driver per year</t>
  </si>
  <si>
    <t>Cost of gas for average two-car family at $2.92 per gallon</t>
  </si>
  <si>
    <t>Miles/driver/year</t>
  </si>
  <si>
    <t>Gas/2 car family</t>
  </si>
  <si>
    <t>Minneapolis--St. Paul, MN--WI</t>
  </si>
  <si>
    <t>Nashville, TN</t>
  </si>
  <si>
    <t>New Orleans, LA</t>
  </si>
  <si>
    <t>New York--Northern New Jersey--Long Island,NY--NJ--CT--PA</t>
  </si>
  <si>
    <t>Norfolk--Virginia Beach--Newport News, VA--NC</t>
  </si>
  <si>
    <t>Oklahoma City, OK</t>
  </si>
  <si>
    <t>Shop Drawings / Span                                                    1-2    Weeks</t>
  </si>
  <si>
    <t>Fabrication / Span                                                           4-6    Weeks</t>
  </si>
  <si>
    <t>Note, these durations are for a single span, however it would be possible to have multiple spans in production at the same time</t>
  </si>
  <si>
    <t>Feel free to contact me should you need anything else.</t>
  </si>
  <si>
    <t>Thanks</t>
  </si>
  <si>
    <t>Brian Blair</t>
  </si>
  <si>
    <t>Chief Estimator</t>
  </si>
  <si>
    <t>118 W. 60th Street ? Minneapolis, MN 55419</t>
  </si>
  <si>
    <t>Cell 612-799-0485</t>
  </si>
  <si>
    <t>Main 612-861-3321   Fax 612-861-2724</t>
  </si>
  <si>
    <t>STRUCTURAL SOLUTIONS</t>
  </si>
  <si>
    <t xml:space="preserve">Approximately </t>
  </si>
  <si>
    <t>A</t>
  </si>
  <si>
    <t xml:space="preserve">center feed at middle of </t>
  </si>
  <si>
    <t>m section</t>
  </si>
  <si>
    <t>Quotation for Sample Materials, F35 Copperhead Conductor System</t>
  </si>
  <si>
    <t>Licensed by JPods, Inc. to own and operate a Local Mobility Company (LMC)</t>
  </si>
  <si>
    <t>System Characteristics of Initial Network</t>
  </si>
  <si>
    <t>Phoenix--Mesa, AZ</t>
  </si>
  <si>
    <t>Pittsburgh, PA</t>
  </si>
  <si>
    <t>Sindi Camp to Transport Nagar</t>
  </si>
  <si>
    <r>
      <t xml:space="preserve">Solar collectors over the rails will gather about </t>
    </r>
    <r>
      <rPr>
        <sz val="10"/>
        <rFont val="Verdana"/>
      </rPr>
      <t>4</t>
    </r>
    <r>
      <rPr>
        <sz val="10"/>
        <rFont val="Verdana"/>
      </rPr>
      <t>0,000 vehicle</t>
    </r>
    <r>
      <rPr>
        <sz val="10"/>
        <rFont val="Verdana"/>
      </rPr>
      <t>-km of power per km per day</t>
    </r>
  </si>
  <si>
    <r>
      <t>Length is about</t>
    </r>
    <r>
      <rPr>
        <sz val="10"/>
        <rFont val="Arial"/>
      </rPr>
      <t xml:space="preserve"> 4.5 km in the first leg. To be expanded into a much larger mesh network.</t>
    </r>
  </si>
  <si>
    <r>
      <t>Cost to build about $</t>
    </r>
    <r>
      <rPr>
        <sz val="10"/>
        <rFont val="Arial"/>
      </rPr>
      <t>35</t>
    </r>
    <r>
      <rPr>
        <sz val="10"/>
        <rFont val="Arial"/>
      </rPr>
      <t xml:space="preserve"> million.</t>
    </r>
  </si>
  <si>
    <t>Carry people and cargo on-demand, 24 x 7</t>
  </si>
  <si>
    <t>http://www.jpods.com/jaipur</t>
  </si>
  <si>
    <t>Chasis</t>
  </si>
  <si>
    <t>length</t>
  </si>
  <si>
    <t>miles</t>
  </si>
  <si>
    <t>meters</t>
  </si>
  <si>
    <t>per span</t>
  </si>
  <si>
    <t>Software</t>
  </si>
  <si>
    <r>
      <t>67</t>
    </r>
    <r>
      <rPr>
        <sz val="10"/>
        <rFont val="Phosphate Solid"/>
      </rPr>
      <t>₹/$</t>
    </r>
  </si>
  <si>
    <t>Sensors</t>
  </si>
  <si>
    <t>Trips per day per km of guideway</t>
  </si>
  <si>
    <t>Cost per Passenger-mile</t>
  </si>
  <si>
    <t>Ferry</t>
  </si>
  <si>
    <t>Heavy Rail</t>
  </si>
  <si>
    <t>Commuter Rail</t>
  </si>
  <si>
    <t>Light Rail</t>
  </si>
  <si>
    <t>Demand Response</t>
  </si>
  <si>
    <t>Bus</t>
  </si>
  <si>
    <t>Trolly Bus</t>
  </si>
  <si>
    <t>Car</t>
  </si>
  <si>
    <t>JPods</t>
  </si>
  <si>
    <t>http://www.mbta.com/uploadedfiles/documents/2014%20BLUEBOOK%2014th%20Edition.pdf</t>
  </si>
  <si>
    <t>Increase</t>
  </si>
  <si>
    <t>Trips/day</t>
  </si>
  <si>
    <t>Price per trip</t>
  </si>
  <si>
    <t>Total Costs</t>
  </si>
  <si>
    <t>Margins</t>
  </si>
  <si>
    <t>Margin %</t>
  </si>
  <si>
    <t>System Debt Change</t>
  </si>
  <si>
    <t>Revenues</t>
  </si>
  <si>
    <t>Currency:</t>
  </si>
  <si>
    <t>Rupee</t>
  </si>
  <si>
    <t>Base currency</t>
  </si>
  <si>
    <t>Paid in Capital</t>
  </si>
  <si>
    <t>Exchange Rate</t>
  </si>
  <si>
    <t>Currancy Exchange</t>
  </si>
  <si>
    <t>Debt Repay Principle</t>
  </si>
  <si>
    <t>Enter data here</t>
  </si>
  <si>
    <t>Debt Repayment</t>
  </si>
  <si>
    <t>Ticket per km</t>
  </si>
  <si>
    <t>Typical Trip in km</t>
  </si>
  <si>
    <t>From Summary page</t>
  </si>
  <si>
    <t>Cost of Network per km</t>
  </si>
  <si>
    <t>per 5 km</t>
  </si>
  <si>
    <t xml:space="preserve">Head counts per 5 km </t>
  </si>
  <si>
    <t>Tickets per day</t>
  </si>
  <si>
    <t>Ramp</t>
  </si>
  <si>
    <t>Red Line</t>
  </si>
  <si>
    <t>Orange Line</t>
  </si>
  <si>
    <t>Blue Line</t>
  </si>
  <si>
    <t>Green Line</t>
  </si>
  <si>
    <t>weekly</t>
  </si>
  <si>
    <t>existing</t>
  </si>
  <si>
    <t>Network Size Increase</t>
  </si>
  <si>
    <t>Years to pay off network</t>
  </si>
  <si>
    <t>Freight Railroads</t>
  </si>
  <si>
    <t>Bus, Transit</t>
  </si>
  <si>
    <t>Personal trucks</t>
  </si>
  <si>
    <t>Cars</t>
  </si>
  <si>
    <t>Air, domestic</t>
  </si>
  <si>
    <t>Rail, Commuter</t>
  </si>
  <si>
    <t>Rail, Transit heavy</t>
  </si>
  <si>
    <t>Rail, Amtrak</t>
  </si>
  <si>
    <t>Motorcycles</t>
  </si>
  <si>
    <t>Van pool</t>
  </si>
  <si>
    <t>Standard</t>
  </si>
  <si>
    <t>http://www.eia.gov/tools/faqs/faq.cfm?id=307&amp;t=11</t>
  </si>
  <si>
    <t>Simplified</t>
  </si>
  <si>
    <t>Grand Junction</t>
  </si>
  <si>
    <t>Interest Rates</t>
  </si>
  <si>
    <t>Assets</t>
  </si>
  <si>
    <t>Construction</t>
  </si>
  <si>
    <t>per km</t>
  </si>
  <si>
    <t>meters wide</t>
  </si>
  <si>
    <t>combined</t>
  </si>
  <si>
    <t>Geotech</t>
  </si>
  <si>
    <t>Rigts of Way Costs</t>
  </si>
  <si>
    <t>Contingency</t>
  </si>
  <si>
    <t>Cost of Rides</t>
  </si>
  <si>
    <t>Cost of Tickets Total</t>
  </si>
  <si>
    <t>Gross Revenues</t>
  </si>
  <si>
    <t>Gross Costs</t>
  </si>
  <si>
    <t>Capital Expenses</t>
  </si>
  <si>
    <t>Bonus Data</t>
  </si>
  <si>
    <t>System Expansion</t>
  </si>
  <si>
    <t>System Total</t>
  </si>
  <si>
    <t>Tax</t>
  </si>
  <si>
    <t>PreTax Profits</t>
  </si>
  <si>
    <t>% PreTax</t>
  </si>
  <si>
    <t>Income</t>
  </si>
  <si>
    <t>Disappointing Customers</t>
  </si>
  <si>
    <t>Disappointing Employees</t>
  </si>
  <si>
    <t>Rare Events</t>
  </si>
  <si>
    <t>Sart up</t>
  </si>
  <si>
    <t>simplified</t>
  </si>
  <si>
    <t>BalanceLine</t>
  </si>
  <si>
    <t>May not balance as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</si>
</sst>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_);_(&quot;$&quot;* \(#,##0\);_(&quot;$&quot;* &quot;-&quot;??_);_(@_)"/>
    <numFmt numFmtId="166" formatCode="0.0"/>
    <numFmt numFmtId="167" formatCode="0.0%"/>
    <numFmt numFmtId="168" formatCode="#,##0.0"/>
    <numFmt numFmtId="169" formatCode="0.000"/>
    <numFmt numFmtId="170" formatCode="mmmm\ d\,\ yyyy"/>
    <numFmt numFmtId="171" formatCode="&quot;$&quot;#,##0"/>
  </numFmts>
  <fonts count="34" x14ac:knownFonts="1">
    <font>
      <sz val="10"/>
      <name val="Verdana"/>
    </font>
    <font>
      <b/>
      <sz val="10"/>
      <name val="Verdana"/>
    </font>
    <font>
      <sz val="10"/>
      <name val="Verdana"/>
    </font>
    <font>
      <sz val="8"/>
      <name val="Verdana"/>
    </font>
    <font>
      <u/>
      <sz val="10"/>
      <color indexed="12"/>
      <name val="Verdana"/>
    </font>
    <font>
      <b/>
      <sz val="10"/>
      <color indexed="8"/>
      <name val="Arial"/>
    </font>
    <font>
      <sz val="10"/>
      <color indexed="8"/>
      <name val="Arial"/>
    </font>
    <font>
      <sz val="10"/>
      <name val="Arial"/>
    </font>
    <font>
      <b/>
      <sz val="11"/>
      <name val="Arial"/>
    </font>
    <font>
      <sz val="9"/>
      <name val="Arial"/>
    </font>
    <font>
      <sz val="10"/>
      <name val="Century Gothic"/>
      <family val="2"/>
    </font>
    <font>
      <sz val="10"/>
      <color indexed="12"/>
      <name val="Century Gothic"/>
      <family val="2"/>
    </font>
    <font>
      <u/>
      <sz val="10"/>
      <name val="Century Gothic"/>
      <family val="2"/>
    </font>
    <font>
      <sz val="8"/>
      <name val="Century Gothic"/>
      <family val="2"/>
    </font>
    <font>
      <sz val="10"/>
      <color indexed="48"/>
      <name val="Century Gothic"/>
      <family val="2"/>
    </font>
    <font>
      <b/>
      <sz val="10"/>
      <color indexed="12"/>
      <name val="Century Gothic"/>
      <family val="2"/>
    </font>
    <font>
      <b/>
      <i/>
      <sz val="10"/>
      <color indexed="48"/>
      <name val="Century Gothic"/>
      <family val="2"/>
    </font>
    <font>
      <sz val="9"/>
      <name val="Century Gothic"/>
      <family val="2"/>
    </font>
    <font>
      <sz val="11"/>
      <color indexed="8"/>
      <name val="Calibri"/>
      <family val="2"/>
    </font>
    <font>
      <sz val="10"/>
      <color indexed="10"/>
      <name val="Century Gothic"/>
      <family val="2"/>
    </font>
    <font>
      <u/>
      <sz val="8.5"/>
      <color indexed="12"/>
      <name val="MS Sans Serif"/>
    </font>
    <font>
      <sz val="12"/>
      <name val="Arial"/>
    </font>
    <font>
      <sz val="10"/>
      <name val="Arial"/>
    </font>
    <font>
      <sz val="10"/>
      <name val="Verdana"/>
    </font>
    <font>
      <b/>
      <i/>
      <sz val="12"/>
      <name val="Verdana"/>
    </font>
    <font>
      <b/>
      <i/>
      <sz val="14"/>
      <name val="Arial"/>
    </font>
    <font>
      <b/>
      <sz val="12"/>
      <name val="Verdana"/>
    </font>
    <font>
      <b/>
      <sz val="12"/>
      <name val="Arial"/>
    </font>
    <font>
      <sz val="10"/>
      <name val="Phosphate Solid"/>
    </font>
    <font>
      <u/>
      <sz val="10"/>
      <color theme="11"/>
      <name val="Verdana"/>
    </font>
    <font>
      <i/>
      <sz val="10"/>
      <name val="Verdana"/>
    </font>
    <font>
      <sz val="9"/>
      <color theme="1"/>
      <name val="Arial"/>
    </font>
    <font>
      <sz val="9"/>
      <color rgb="FF000000"/>
      <name val="Arial"/>
    </font>
    <font>
      <sz val="72"/>
      <name val="Verdana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A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660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51"/>
      </left>
      <right style="thin">
        <color indexed="51"/>
      </right>
      <top style="thin">
        <color indexed="51"/>
      </top>
      <bottom/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thin">
        <color indexed="51"/>
      </left>
      <right/>
      <top style="thin">
        <color indexed="51"/>
      </top>
      <bottom style="thin">
        <color indexed="51"/>
      </bottom>
      <diagonal/>
    </border>
    <border>
      <left style="thin">
        <color indexed="13"/>
      </left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thin">
        <color indexed="51"/>
      </left>
      <right style="thin">
        <color indexed="51"/>
      </right>
      <top style="thin">
        <color indexed="51"/>
      </top>
      <bottom style="thin">
        <color indexed="51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/>
      <diagonal/>
    </border>
    <border>
      <left style="thin">
        <color indexed="48"/>
      </left>
      <right style="thin">
        <color indexed="48"/>
      </right>
      <top/>
      <bottom/>
      <diagonal/>
    </border>
    <border>
      <left style="thin">
        <color indexed="48"/>
      </left>
      <right style="thin">
        <color indexed="48"/>
      </right>
      <top/>
      <bottom style="thin">
        <color indexed="48"/>
      </bottom>
      <diagonal/>
    </border>
    <border>
      <left style="thin">
        <color indexed="51"/>
      </left>
      <right/>
      <top style="thin">
        <color indexed="51"/>
      </top>
      <bottom/>
      <diagonal/>
    </border>
    <border>
      <left/>
      <right/>
      <top style="thin">
        <color indexed="51"/>
      </top>
      <bottom/>
      <diagonal/>
    </border>
    <border>
      <left style="thin">
        <color auto="1"/>
      </left>
      <right style="thin">
        <color auto="1"/>
      </right>
      <top style="thin">
        <color indexed="51"/>
      </top>
      <bottom style="thin">
        <color auto="1"/>
      </bottom>
      <diagonal/>
    </border>
    <border>
      <left/>
      <right style="thin">
        <color indexed="51"/>
      </right>
      <top style="thin">
        <color indexed="51"/>
      </top>
      <bottom/>
      <diagonal/>
    </border>
    <border>
      <left style="thin">
        <color indexed="51"/>
      </left>
      <right/>
      <top/>
      <bottom/>
      <diagonal/>
    </border>
    <border>
      <left/>
      <right style="thin">
        <color indexed="51"/>
      </right>
      <top/>
      <bottom/>
      <diagonal/>
    </border>
    <border>
      <left style="thin">
        <color indexed="51"/>
      </left>
      <right/>
      <top/>
      <bottom style="thin">
        <color indexed="51"/>
      </bottom>
      <diagonal/>
    </border>
    <border>
      <left/>
      <right/>
      <top/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51"/>
      </bottom>
      <diagonal/>
    </border>
    <border>
      <left/>
      <right style="thin">
        <color indexed="51"/>
      </right>
      <top/>
      <bottom style="thin">
        <color indexed="51"/>
      </bottom>
      <diagonal/>
    </border>
  </borders>
  <cellStyleXfs count="231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</cellStyleXfs>
  <cellXfs count="274">
    <xf numFmtId="0" fontId="0" fillId="0" borderId="0" xfId="0"/>
    <xf numFmtId="3" fontId="0" fillId="0" borderId="0" xfId="0" applyNumberFormat="1"/>
    <xf numFmtId="9" fontId="0" fillId="0" borderId="0" xfId="5" applyFont="1"/>
    <xf numFmtId="164" fontId="0" fillId="0" borderId="0" xfId="1" applyNumberFormat="1" applyFont="1"/>
    <xf numFmtId="44" fontId="0" fillId="0" borderId="0" xfId="2" applyFont="1"/>
    <xf numFmtId="1" fontId="0" fillId="0" borderId="0" xfId="0" applyNumberFormat="1"/>
    <xf numFmtId="6" fontId="0" fillId="0" borderId="0" xfId="0" applyNumberFormat="1"/>
    <xf numFmtId="9" fontId="0" fillId="0" borderId="0" xfId="0" applyNumberFormat="1"/>
    <xf numFmtId="37" fontId="0" fillId="0" borderId="0" xfId="2" applyNumberFormat="1" applyFont="1"/>
    <xf numFmtId="0" fontId="0" fillId="2" borderId="0" xfId="0" applyFill="1"/>
    <xf numFmtId="9" fontId="0" fillId="2" borderId="0" xfId="5" applyFont="1" applyFill="1"/>
    <xf numFmtId="3" fontId="0" fillId="2" borderId="0" xfId="0" applyNumberFormat="1" applyFill="1"/>
    <xf numFmtId="0" fontId="0" fillId="0" borderId="0" xfId="0" applyFill="1"/>
    <xf numFmtId="9" fontId="0" fillId="0" borderId="0" xfId="5" applyFont="1" applyFill="1"/>
    <xf numFmtId="3" fontId="0" fillId="0" borderId="0" xfId="0" applyNumberFormat="1" applyFill="1"/>
    <xf numFmtId="167" fontId="0" fillId="0" borderId="0" xfId="0" applyNumberFormat="1"/>
    <xf numFmtId="9" fontId="0" fillId="0" borderId="1" xfId="0" applyNumberFormat="1" applyBorder="1"/>
    <xf numFmtId="0" fontId="0" fillId="0" borderId="1" xfId="0" applyBorder="1"/>
    <xf numFmtId="167" fontId="0" fillId="0" borderId="1" xfId="5" applyNumberFormat="1" applyFont="1" applyBorder="1"/>
    <xf numFmtId="167" fontId="0" fillId="0" borderId="1" xfId="0" applyNumberFormat="1" applyBorder="1"/>
    <xf numFmtId="3" fontId="0" fillId="0" borderId="2" xfId="0" applyNumberFormat="1" applyBorder="1"/>
    <xf numFmtId="2" fontId="0" fillId="0" borderId="0" xfId="0" applyNumberFormat="1"/>
    <xf numFmtId="0" fontId="2" fillId="0" borderId="0" xfId="0" applyFont="1"/>
    <xf numFmtId="0" fontId="0" fillId="3" borderId="0" xfId="0" applyFill="1"/>
    <xf numFmtId="0" fontId="0" fillId="4" borderId="0" xfId="0" applyFill="1"/>
    <xf numFmtId="3" fontId="0" fillId="4" borderId="0" xfId="0" applyNumberFormat="1" applyFill="1"/>
    <xf numFmtId="168" fontId="0" fillId="0" borderId="0" xfId="0" applyNumberFormat="1"/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left"/>
    </xf>
    <xf numFmtId="49" fontId="6" fillId="0" borderId="0" xfId="0" applyNumberFormat="1" applyFont="1" applyAlignment="1">
      <alignment horizontal="left"/>
    </xf>
    <xf numFmtId="49" fontId="7" fillId="0" borderId="0" xfId="0" applyNumberFormat="1" applyFont="1" applyAlignment="1">
      <alignment horizontal="left"/>
    </xf>
    <xf numFmtId="43" fontId="6" fillId="0" borderId="0" xfId="1" applyFont="1" applyAlignment="1">
      <alignment horizontal="left"/>
    </xf>
    <xf numFmtId="164" fontId="5" fillId="0" borderId="0" xfId="1" applyNumberFormat="1" applyFont="1" applyAlignment="1">
      <alignment horizontal="center"/>
    </xf>
    <xf numFmtId="164" fontId="6" fillId="0" borderId="0" xfId="1" applyNumberFormat="1" applyFont="1" applyAlignment="1">
      <alignment horizontal="center"/>
    </xf>
    <xf numFmtId="164" fontId="5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9" fontId="0" fillId="4" borderId="0" xfId="5" applyFont="1" applyFill="1"/>
    <xf numFmtId="0" fontId="0" fillId="0" borderId="0" xfId="0" applyAlignment="1">
      <alignment horizontal="right"/>
    </xf>
    <xf numFmtId="165" fontId="0" fillId="0" borderId="0" xfId="2" applyNumberFormat="1" applyFont="1"/>
    <xf numFmtId="165" fontId="0" fillId="0" borderId="0" xfId="0" applyNumberFormat="1"/>
    <xf numFmtId="8" fontId="0" fillId="0" borderId="0" xfId="0" applyNumberFormat="1"/>
    <xf numFmtId="0" fontId="8" fillId="0" borderId="0" xfId="0" applyFont="1"/>
    <xf numFmtId="0" fontId="0" fillId="0" borderId="0" xfId="0" quotePrefix="1" applyAlignment="1">
      <alignment horizontal="right"/>
    </xf>
    <xf numFmtId="0" fontId="8" fillId="0" borderId="0" xfId="0" applyFont="1" applyAlignment="1">
      <alignment horizontal="center"/>
    </xf>
    <xf numFmtId="1" fontId="0" fillId="5" borderId="0" xfId="0" applyNumberFormat="1" applyFill="1" applyAlignment="1">
      <alignment horizontal="right"/>
    </xf>
    <xf numFmtId="0" fontId="0" fillId="0" borderId="0" xfId="0" quotePrefix="1"/>
    <xf numFmtId="0" fontId="10" fillId="6" borderId="0" xfId="0" applyFont="1" applyFill="1" applyBorder="1" applyAlignment="1">
      <alignment horizontal="left"/>
    </xf>
    <xf numFmtId="0" fontId="10" fillId="6" borderId="0" xfId="0" applyFont="1" applyFill="1" applyBorder="1"/>
    <xf numFmtId="44" fontId="10" fillId="6" borderId="0" xfId="2" applyFont="1" applyFill="1" applyBorder="1"/>
    <xf numFmtId="44" fontId="10" fillId="6" borderId="0" xfId="2" applyFont="1" applyFill="1" applyBorder="1" applyAlignment="1">
      <alignment horizontal="right"/>
    </xf>
    <xf numFmtId="0" fontId="11" fillId="6" borderId="0" xfId="0" applyFont="1" applyFill="1" applyAlignment="1">
      <alignment horizontal="left"/>
    </xf>
    <xf numFmtId="0" fontId="11" fillId="6" borderId="0" xfId="0" applyFont="1" applyFill="1"/>
    <xf numFmtId="0" fontId="11" fillId="6" borderId="0" xfId="0" quotePrefix="1" applyFont="1" applyFill="1" applyAlignment="1">
      <alignment horizontal="left"/>
    </xf>
    <xf numFmtId="0" fontId="10" fillId="6" borderId="0" xfId="0" applyFont="1" applyFill="1"/>
    <xf numFmtId="0" fontId="10" fillId="6" borderId="0" xfId="0" applyFont="1" applyFill="1" applyAlignment="1">
      <alignment horizontal="left"/>
    </xf>
    <xf numFmtId="0" fontId="10" fillId="6" borderId="0" xfId="0" applyFont="1" applyFill="1" applyAlignment="1">
      <alignment horizontal="right"/>
    </xf>
    <xf numFmtId="39" fontId="10" fillId="6" borderId="0" xfId="0" applyNumberFormat="1" applyFont="1" applyFill="1" applyAlignment="1">
      <alignment horizontal="right"/>
    </xf>
    <xf numFmtId="0" fontId="10" fillId="6" borderId="0" xfId="0" quotePrefix="1" applyFont="1" applyFill="1" applyAlignment="1">
      <alignment horizontal="right"/>
    </xf>
    <xf numFmtId="0" fontId="10" fillId="6" borderId="0" xfId="0" quotePrefix="1" applyFont="1" applyFill="1" applyAlignment="1">
      <alignment horizontal="left"/>
    </xf>
    <xf numFmtId="170" fontId="10" fillId="6" borderId="0" xfId="0" applyNumberFormat="1" applyFont="1" applyFill="1" applyAlignment="1">
      <alignment horizontal="right"/>
    </xf>
    <xf numFmtId="170" fontId="10" fillId="6" borderId="0" xfId="0" quotePrefix="1" applyNumberFormat="1" applyFont="1" applyFill="1" applyAlignment="1">
      <alignment horizontal="right"/>
    </xf>
    <xf numFmtId="0" fontId="10" fillId="6" borderId="0" xfId="0" applyNumberFormat="1" applyFont="1" applyFill="1" applyAlignment="1">
      <alignment horizontal="right"/>
    </xf>
    <xf numFmtId="0" fontId="13" fillId="6" borderId="0" xfId="0" applyFont="1" applyFill="1" applyAlignment="1">
      <alignment horizontal="left"/>
    </xf>
    <xf numFmtId="0" fontId="10" fillId="6" borderId="3" xfId="0" applyFont="1" applyFill="1" applyBorder="1" applyAlignment="1">
      <alignment horizontal="left"/>
    </xf>
    <xf numFmtId="0" fontId="10" fillId="6" borderId="3" xfId="0" applyFont="1" applyFill="1" applyBorder="1" applyAlignment="1">
      <alignment horizontal="right"/>
    </xf>
    <xf numFmtId="0" fontId="10" fillId="6" borderId="3" xfId="0" quotePrefix="1" applyFont="1" applyFill="1" applyBorder="1" applyAlignment="1">
      <alignment horizontal="left"/>
    </xf>
    <xf numFmtId="0" fontId="10" fillId="6" borderId="3" xfId="0" applyFont="1" applyFill="1" applyBorder="1"/>
    <xf numFmtId="0" fontId="10" fillId="6" borderId="3" xfId="0" quotePrefix="1" applyFont="1" applyFill="1" applyBorder="1" applyAlignment="1">
      <alignment horizontal="right"/>
    </xf>
    <xf numFmtId="39" fontId="10" fillId="6" borderId="3" xfId="0" applyNumberFormat="1" applyFont="1" applyFill="1" applyBorder="1" applyAlignment="1">
      <alignment horizontal="right"/>
    </xf>
    <xf numFmtId="39" fontId="10" fillId="6" borderId="3" xfId="0" quotePrefix="1" applyNumberFormat="1" applyFont="1" applyFill="1" applyBorder="1" applyAlignment="1">
      <alignment horizontal="right"/>
    </xf>
    <xf numFmtId="169" fontId="10" fillId="6" borderId="0" xfId="0" quotePrefix="1" applyNumberFormat="1" applyFont="1" applyFill="1" applyAlignment="1">
      <alignment horizontal="right"/>
    </xf>
    <xf numFmtId="7" fontId="10" fillId="6" borderId="0" xfId="0" applyNumberFormat="1" applyFont="1" applyFill="1" applyAlignment="1">
      <alignment horizontal="right"/>
    </xf>
    <xf numFmtId="0" fontId="14" fillId="6" borderId="0" xfId="0" applyFont="1" applyFill="1" applyAlignment="1">
      <alignment horizontal="right"/>
    </xf>
    <xf numFmtId="0" fontId="14" fillId="6" borderId="0" xfId="0" applyFont="1" applyFill="1" applyAlignment="1">
      <alignment horizontal="left"/>
    </xf>
    <xf numFmtId="0" fontId="14" fillId="6" borderId="0" xfId="0" applyFont="1" applyFill="1"/>
    <xf numFmtId="0" fontId="15" fillId="6" borderId="0" xfId="0" applyFont="1" applyFill="1"/>
    <xf numFmtId="0" fontId="16" fillId="6" borderId="0" xfId="0" quotePrefix="1" applyFont="1" applyFill="1" applyAlignment="1">
      <alignment horizontal="left"/>
    </xf>
    <xf numFmtId="39" fontId="10" fillId="6" borderId="0" xfId="0" applyNumberFormat="1" applyFont="1" applyFill="1"/>
    <xf numFmtId="0" fontId="17" fillId="6" borderId="0" xfId="0" applyFont="1" applyFill="1"/>
    <xf numFmtId="7" fontId="10" fillId="6" borderId="4" xfId="0" applyNumberFormat="1" applyFont="1" applyFill="1" applyBorder="1"/>
    <xf numFmtId="39" fontId="14" fillId="6" borderId="0" xfId="0" applyNumberFormat="1" applyFont="1" applyFill="1"/>
    <xf numFmtId="0" fontId="10" fillId="6" borderId="0" xfId="4" quotePrefix="1" applyFont="1" applyFill="1" applyAlignment="1">
      <alignment horizontal="left"/>
    </xf>
    <xf numFmtId="0" fontId="10" fillId="6" borderId="0" xfId="4" applyFont="1" applyFill="1"/>
    <xf numFmtId="0" fontId="10" fillId="6" borderId="0" xfId="4" applyFont="1" applyFill="1" applyAlignment="1">
      <alignment horizontal="left"/>
    </xf>
    <xf numFmtId="0" fontId="10" fillId="6" borderId="0" xfId="4" applyFont="1" applyFill="1" applyAlignment="1">
      <alignment horizontal="right"/>
    </xf>
    <xf numFmtId="0" fontId="10" fillId="6" borderId="0" xfId="4" applyFont="1" applyFill="1" applyAlignment="1">
      <alignment horizontal="center"/>
    </xf>
    <xf numFmtId="39" fontId="10" fillId="6" borderId="0" xfId="4" applyNumberFormat="1" applyFont="1" applyFill="1" applyAlignment="1">
      <alignment horizontal="right"/>
    </xf>
    <xf numFmtId="0" fontId="19" fillId="6" borderId="0" xfId="4" applyFont="1" applyFill="1"/>
    <xf numFmtId="0" fontId="13" fillId="6" borderId="0" xfId="4" applyFont="1" applyFill="1"/>
    <xf numFmtId="0" fontId="20" fillId="6" borderId="0" xfId="3" applyFont="1" applyFill="1" applyAlignment="1" applyProtection="1"/>
    <xf numFmtId="0" fontId="19" fillId="0" borderId="0" xfId="0" quotePrefix="1" applyFont="1" applyAlignment="1">
      <alignment horizontal="right"/>
    </xf>
    <xf numFmtId="0" fontId="19" fillId="0" borderId="0" xfId="0" applyFont="1"/>
    <xf numFmtId="0" fontId="19" fillId="0" borderId="0" xfId="0" applyFont="1" applyAlignment="1">
      <alignment horizontal="right"/>
    </xf>
    <xf numFmtId="0" fontId="19" fillId="0" borderId="0" xfId="0" quotePrefix="1" applyFont="1" applyAlignment="1">
      <alignment horizontal="left"/>
    </xf>
    <xf numFmtId="0" fontId="19" fillId="0" borderId="0" xfId="0" applyFont="1" applyAlignment="1">
      <alignment horizontal="left"/>
    </xf>
    <xf numFmtId="39" fontId="19" fillId="0" borderId="0" xfId="0" applyNumberFormat="1" applyFont="1" applyAlignment="1">
      <alignment horizontal="right"/>
    </xf>
    <xf numFmtId="39" fontId="14" fillId="0" borderId="0" xfId="0" applyNumberFormat="1" applyFont="1" applyAlignment="1">
      <alignment horizontal="right"/>
    </xf>
    <xf numFmtId="167" fontId="0" fillId="0" borderId="0" xfId="5" applyNumberFormat="1" applyFont="1" applyFill="1"/>
    <xf numFmtId="3" fontId="0" fillId="0" borderId="0" xfId="5" applyNumberFormat="1" applyFont="1" applyFill="1"/>
    <xf numFmtId="166" fontId="0" fillId="0" borderId="0" xfId="5" applyNumberFormat="1" applyFont="1" applyFill="1"/>
    <xf numFmtId="3" fontId="2" fillId="0" borderId="0" xfId="0" applyNumberFormat="1" applyFont="1" applyFill="1"/>
    <xf numFmtId="0" fontId="0" fillId="5" borderId="0" xfId="0" applyFill="1"/>
    <xf numFmtId="3" fontId="0" fillId="5" borderId="0" xfId="0" applyNumberFormat="1" applyFill="1"/>
    <xf numFmtId="0" fontId="0" fillId="7" borderId="0" xfId="0" applyFill="1"/>
    <xf numFmtId="3" fontId="0" fillId="7" borderId="0" xfId="0" applyNumberFormat="1" applyFill="1"/>
    <xf numFmtId="0" fontId="2" fillId="5" borderId="0" xfId="0" applyFont="1" applyFill="1"/>
    <xf numFmtId="9" fontId="0" fillId="0" borderId="0" xfId="0" applyNumberFormat="1" applyFill="1"/>
    <xf numFmtId="164" fontId="0" fillId="0" borderId="0" xfId="0" applyNumberFormat="1"/>
    <xf numFmtId="0" fontId="0" fillId="0" borderId="0" xfId="0" applyBorder="1"/>
    <xf numFmtId="0" fontId="21" fillId="0" borderId="0" xfId="0" applyFont="1" applyBorder="1"/>
    <xf numFmtId="0" fontId="21" fillId="0" borderId="0" xfId="0" applyFont="1" applyBorder="1" applyAlignment="1">
      <alignment vertical="top"/>
    </xf>
    <xf numFmtId="0" fontId="0" fillId="0" borderId="0" xfId="0" applyAlignment="1">
      <alignment vertical="top"/>
    </xf>
    <xf numFmtId="0" fontId="0" fillId="0" borderId="0" xfId="0" applyBorder="1" applyAlignment="1">
      <alignment vertical="top"/>
    </xf>
    <xf numFmtId="0" fontId="22" fillId="0" borderId="0" xfId="0" applyFont="1" applyBorder="1" applyAlignment="1">
      <alignment vertical="top"/>
    </xf>
    <xf numFmtId="0" fontId="23" fillId="0" borderId="0" xfId="0" applyFont="1" applyAlignment="1">
      <alignment vertical="top"/>
    </xf>
    <xf numFmtId="0" fontId="23" fillId="0" borderId="0" xfId="0" applyFont="1" applyAlignment="1">
      <alignment horizontal="right" vertical="top"/>
    </xf>
    <xf numFmtId="0" fontId="22" fillId="0" borderId="0" xfId="0" applyFont="1" applyBorder="1"/>
    <xf numFmtId="0" fontId="23" fillId="0" borderId="0" xfId="0" applyFont="1"/>
    <xf numFmtId="3" fontId="0" fillId="0" borderId="0" xfId="1" applyNumberFormat="1" applyFont="1" applyFill="1"/>
    <xf numFmtId="168" fontId="0" fillId="0" borderId="0" xfId="1" applyNumberFormat="1" applyFont="1" applyFill="1"/>
    <xf numFmtId="9" fontId="0" fillId="0" borderId="0" xfId="5" applyNumberFormat="1" applyFont="1" applyFill="1"/>
    <xf numFmtId="37" fontId="0" fillId="0" borderId="0" xfId="2" applyNumberFormat="1" applyFont="1" applyFill="1"/>
    <xf numFmtId="1" fontId="0" fillId="0" borderId="0" xfId="2" applyNumberFormat="1" applyFont="1" applyFill="1"/>
    <xf numFmtId="3" fontId="2" fillId="0" borderId="0" xfId="5" applyNumberFormat="1" applyFont="1" applyFill="1"/>
    <xf numFmtId="9" fontId="2" fillId="0" borderId="0" xfId="5" applyFont="1" applyFill="1"/>
    <xf numFmtId="43" fontId="0" fillId="0" borderId="0" xfId="0" applyNumberFormat="1"/>
    <xf numFmtId="10" fontId="0" fillId="0" borderId="0" xfId="0" applyNumberFormat="1"/>
    <xf numFmtId="9" fontId="0" fillId="3" borderId="0" xfId="0" applyNumberFormat="1" applyFill="1"/>
    <xf numFmtId="3" fontId="0" fillId="3" borderId="0" xfId="2" applyNumberFormat="1" applyFont="1" applyFill="1"/>
    <xf numFmtId="44" fontId="0" fillId="3" borderId="0" xfId="2" applyNumberFormat="1" applyFont="1" applyFill="1"/>
    <xf numFmtId="8" fontId="0" fillId="3" borderId="0" xfId="0" applyNumberFormat="1" applyFill="1"/>
    <xf numFmtId="44" fontId="0" fillId="0" borderId="0" xfId="2" applyFont="1" applyAlignment="1">
      <alignment horizontal="left"/>
    </xf>
    <xf numFmtId="44" fontId="0" fillId="0" borderId="0" xfId="0" applyNumberFormat="1"/>
    <xf numFmtId="0" fontId="1" fillId="0" borderId="0" xfId="0" applyFont="1"/>
    <xf numFmtId="0" fontId="24" fillId="0" borderId="0" xfId="0" applyFont="1"/>
    <xf numFmtId="0" fontId="1" fillId="0" borderId="0" xfId="0" applyFont="1" applyAlignment="1">
      <alignment horizontal="right"/>
    </xf>
    <xf numFmtId="165" fontId="0" fillId="4" borderId="0" xfId="2" applyNumberFormat="1" applyFont="1" applyFill="1"/>
    <xf numFmtId="43" fontId="0" fillId="0" borderId="0" xfId="1" applyNumberFormat="1" applyFont="1"/>
    <xf numFmtId="1" fontId="0" fillId="0" borderId="0" xfId="0" applyNumberFormat="1" applyBorder="1"/>
    <xf numFmtId="164" fontId="0" fillId="0" borderId="0" xfId="1" applyNumberFormat="1" applyFont="1" applyBorder="1"/>
    <xf numFmtId="167" fontId="0" fillId="0" borderId="0" xfId="5" applyNumberFormat="1" applyFont="1" applyBorder="1"/>
    <xf numFmtId="6" fontId="0" fillId="0" borderId="0" xfId="0" applyNumberFormat="1" applyBorder="1"/>
    <xf numFmtId="167" fontId="0" fillId="0" borderId="0" xfId="0" applyNumberFormat="1" applyBorder="1"/>
    <xf numFmtId="0" fontId="0" fillId="0" borderId="5" xfId="0" applyFill="1" applyBorder="1"/>
    <xf numFmtId="9" fontId="0" fillId="0" borderId="6" xfId="5" applyFont="1" applyFill="1" applyBorder="1"/>
    <xf numFmtId="9" fontId="0" fillId="0" borderId="6" xfId="5" applyNumberFormat="1" applyFont="1" applyFill="1" applyBorder="1"/>
    <xf numFmtId="164" fontId="0" fillId="0" borderId="7" xfId="1" applyNumberFormat="1" applyFont="1" applyFill="1" applyBorder="1" applyAlignment="1">
      <alignment horizontal="left" indent="1"/>
    </xf>
    <xf numFmtId="9" fontId="0" fillId="0" borderId="8" xfId="5" applyFont="1" applyFill="1" applyBorder="1"/>
    <xf numFmtId="9" fontId="2" fillId="0" borderId="9" xfId="5" applyFont="1" applyFill="1" applyBorder="1"/>
    <xf numFmtId="9" fontId="0" fillId="0" borderId="9" xfId="5" applyFont="1" applyFill="1" applyBorder="1"/>
    <xf numFmtId="0" fontId="0" fillId="0" borderId="9" xfId="0" applyFill="1" applyBorder="1"/>
    <xf numFmtId="1" fontId="0" fillId="0" borderId="9" xfId="2" applyNumberFormat="1" applyFont="1" applyFill="1" applyBorder="1"/>
    <xf numFmtId="9" fontId="0" fillId="0" borderId="9" xfId="0" applyNumberFormat="1" applyFill="1" applyBorder="1"/>
    <xf numFmtId="3" fontId="2" fillId="0" borderId="9" xfId="5" applyNumberFormat="1" applyFont="1" applyFill="1" applyBorder="1"/>
    <xf numFmtId="3" fontId="0" fillId="0" borderId="10" xfId="0" applyNumberFormat="1" applyFill="1" applyBorder="1"/>
    <xf numFmtId="3" fontId="0" fillId="0" borderId="11" xfId="0" applyNumberFormat="1" applyFill="1" applyBorder="1"/>
    <xf numFmtId="0" fontId="0" fillId="0" borderId="13" xfId="0" applyBorder="1"/>
    <xf numFmtId="1" fontId="0" fillId="0" borderId="14" xfId="0" applyNumberFormat="1" applyBorder="1"/>
    <xf numFmtId="0" fontId="0" fillId="0" borderId="14" xfId="0" applyBorder="1"/>
    <xf numFmtId="164" fontId="0" fillId="0" borderId="14" xfId="1" applyNumberFormat="1" applyFont="1" applyBorder="1"/>
    <xf numFmtId="167" fontId="0" fillId="0" borderId="14" xfId="5" applyNumberFormat="1" applyFont="1" applyBorder="1"/>
    <xf numFmtId="167" fontId="0" fillId="0" borderId="15" xfId="5" applyNumberFormat="1" applyFont="1" applyBorder="1"/>
    <xf numFmtId="9" fontId="0" fillId="0" borderId="15" xfId="0" applyNumberFormat="1" applyBorder="1"/>
    <xf numFmtId="1" fontId="0" fillId="0" borderId="16" xfId="0" applyNumberFormat="1" applyBorder="1"/>
    <xf numFmtId="0" fontId="0" fillId="0" borderId="17" xfId="0" applyBorder="1"/>
    <xf numFmtId="1" fontId="0" fillId="0" borderId="18" xfId="0" applyNumberForma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25" fillId="0" borderId="0" xfId="0" applyFont="1" applyBorder="1" applyAlignment="1">
      <alignment vertical="top"/>
    </xf>
    <xf numFmtId="0" fontId="26" fillId="0" borderId="0" xfId="0" applyFont="1" applyAlignment="1">
      <alignment vertical="top"/>
    </xf>
    <xf numFmtId="0" fontId="27" fillId="0" borderId="0" xfId="0" applyFont="1" applyBorder="1" applyAlignment="1">
      <alignment vertical="top"/>
    </xf>
    <xf numFmtId="0" fontId="0" fillId="8" borderId="0" xfId="0" applyFill="1"/>
    <xf numFmtId="3" fontId="0" fillId="8" borderId="0" xfId="0" applyNumberFormat="1" applyFill="1"/>
    <xf numFmtId="0" fontId="2" fillId="8" borderId="0" xfId="0" applyFont="1" applyFill="1"/>
    <xf numFmtId="164" fontId="0" fillId="8" borderId="0" xfId="1" applyNumberFormat="1" applyFont="1" applyFill="1"/>
    <xf numFmtId="164" fontId="0" fillId="8" borderId="0" xfId="1" applyNumberFormat="1" applyFont="1" applyFill="1" applyAlignment="1">
      <alignment horizontal="left"/>
    </xf>
    <xf numFmtId="0" fontId="0" fillId="9" borderId="15" xfId="0" applyFill="1" applyBorder="1"/>
    <xf numFmtId="0" fontId="0" fillId="9" borderId="1" xfId="0" applyFill="1" applyBorder="1"/>
    <xf numFmtId="0" fontId="0" fillId="0" borderId="0" xfId="0" applyNumberFormat="1"/>
    <xf numFmtId="44" fontId="0" fillId="0" borderId="9" xfId="2" applyFont="1" applyFill="1" applyBorder="1"/>
    <xf numFmtId="0" fontId="0" fillId="0" borderId="0" xfId="0" applyFont="1" applyAlignment="1">
      <alignment vertical="top"/>
    </xf>
    <xf numFmtId="0" fontId="7" fillId="0" borderId="0" xfId="0" applyFont="1" applyBorder="1" applyAlignment="1">
      <alignment vertical="top"/>
    </xf>
    <xf numFmtId="0" fontId="7" fillId="0" borderId="0" xfId="0" applyFont="1" applyFill="1" applyBorder="1" applyAlignment="1">
      <alignment vertical="top"/>
    </xf>
    <xf numFmtId="0" fontId="4" fillId="0" borderId="0" xfId="3" applyFill="1" applyBorder="1" applyAlignment="1" applyProtection="1">
      <alignment vertical="top"/>
    </xf>
    <xf numFmtId="3" fontId="0" fillId="10" borderId="0" xfId="0" applyNumberFormat="1" applyFill="1"/>
    <xf numFmtId="0" fontId="0" fillId="10" borderId="0" xfId="0" applyFill="1"/>
    <xf numFmtId="164" fontId="0" fillId="0" borderId="9" xfId="1" applyNumberFormat="1" applyFont="1" applyFill="1" applyBorder="1"/>
    <xf numFmtId="4" fontId="0" fillId="5" borderId="0" xfId="0" applyNumberFormat="1" applyFill="1"/>
    <xf numFmtId="4" fontId="0" fillId="0" borderId="9" xfId="0" applyNumberFormat="1" applyFill="1" applyBorder="1"/>
    <xf numFmtId="164" fontId="0" fillId="12" borderId="0" xfId="1" applyNumberFormat="1" applyFont="1" applyFill="1"/>
    <xf numFmtId="3" fontId="0" fillId="13" borderId="0" xfId="0" applyNumberFormat="1" applyFill="1"/>
    <xf numFmtId="164" fontId="0" fillId="14" borderId="0" xfId="1" applyNumberFormat="1" applyFont="1" applyFill="1"/>
    <xf numFmtId="0" fontId="30" fillId="0" borderId="0" xfId="0" applyFont="1"/>
    <xf numFmtId="0" fontId="0" fillId="0" borderId="0" xfId="0" applyFont="1"/>
    <xf numFmtId="0" fontId="0" fillId="12" borderId="0" xfId="0" applyFill="1"/>
    <xf numFmtId="3" fontId="0" fillId="0" borderId="0" xfId="0" applyNumberFormat="1" applyFont="1"/>
    <xf numFmtId="3" fontId="0" fillId="0" borderId="0" xfId="2" applyNumberFormat="1" applyFont="1"/>
    <xf numFmtId="3" fontId="0" fillId="14" borderId="5" xfId="1" applyNumberFormat="1" applyFont="1" applyFill="1" applyBorder="1"/>
    <xf numFmtId="3" fontId="2" fillId="14" borderId="12" xfId="5" applyNumberFormat="1" applyFont="1" applyFill="1" applyBorder="1"/>
    <xf numFmtId="3" fontId="30" fillId="0" borderId="0" xfId="0" applyNumberFormat="1" applyFont="1"/>
    <xf numFmtId="3" fontId="30" fillId="0" borderId="0" xfId="0" applyNumberFormat="1" applyFont="1" applyFill="1"/>
    <xf numFmtId="1" fontId="30" fillId="0" borderId="0" xfId="0" applyNumberFormat="1" applyFont="1"/>
    <xf numFmtId="164" fontId="0" fillId="15" borderId="0" xfId="1" applyNumberFormat="1" applyFont="1" applyFill="1"/>
    <xf numFmtId="3" fontId="0" fillId="16" borderId="0" xfId="0" applyNumberFormat="1" applyFill="1"/>
    <xf numFmtId="0" fontId="0" fillId="13" borderId="0" xfId="0" applyFill="1"/>
    <xf numFmtId="0" fontId="0" fillId="17" borderId="0" xfId="0" applyFill="1"/>
    <xf numFmtId="0" fontId="0" fillId="18" borderId="0" xfId="0" applyFill="1"/>
    <xf numFmtId="3" fontId="0" fillId="18" borderId="0" xfId="0" applyNumberFormat="1" applyFill="1"/>
    <xf numFmtId="0" fontId="0" fillId="19" borderId="0" xfId="0" applyFill="1"/>
    <xf numFmtId="3" fontId="0" fillId="19" borderId="0" xfId="0" applyNumberFormat="1" applyFill="1"/>
    <xf numFmtId="164" fontId="0" fillId="19" borderId="0" xfId="1" applyNumberFormat="1" applyFont="1" applyFill="1"/>
    <xf numFmtId="0" fontId="0" fillId="16" borderId="0" xfId="0" applyFill="1"/>
    <xf numFmtId="9" fontId="0" fillId="16" borderId="0" xfId="5" applyFont="1" applyFill="1"/>
    <xf numFmtId="0" fontId="0" fillId="12" borderId="0" xfId="0" applyFill="1" applyBorder="1"/>
    <xf numFmtId="43" fontId="0" fillId="12" borderId="9" xfId="2" applyNumberFormat="1" applyFont="1" applyFill="1" applyBorder="1"/>
    <xf numFmtId="0" fontId="0" fillId="14" borderId="0" xfId="0" applyFill="1"/>
    <xf numFmtId="0" fontId="0" fillId="14" borderId="0" xfId="0" applyFill="1" applyBorder="1"/>
    <xf numFmtId="43" fontId="0" fillId="14" borderId="9" xfId="2" applyNumberFormat="1" applyFont="1" applyFill="1" applyBorder="1"/>
    <xf numFmtId="3" fontId="0" fillId="20" borderId="5" xfId="1" applyNumberFormat="1" applyFont="1" applyFill="1" applyBorder="1"/>
    <xf numFmtId="3" fontId="0" fillId="20" borderId="6" xfId="1" applyNumberFormat="1" applyFont="1" applyFill="1" applyBorder="1"/>
    <xf numFmtId="168" fontId="0" fillId="20" borderId="6" xfId="1" applyNumberFormat="1" applyFont="1" applyFill="1" applyBorder="1"/>
    <xf numFmtId="0" fontId="22" fillId="12" borderId="0" xfId="0" applyFont="1" applyFill="1" applyBorder="1" applyAlignment="1">
      <alignment vertical="top"/>
    </xf>
    <xf numFmtId="0" fontId="23" fillId="12" borderId="0" xfId="0" applyFont="1" applyFill="1" applyAlignment="1">
      <alignment vertical="top"/>
    </xf>
    <xf numFmtId="0" fontId="0" fillId="21" borderId="0" xfId="0" applyFill="1"/>
    <xf numFmtId="166" fontId="21" fillId="0" borderId="0" xfId="0" applyNumberFormat="1" applyFont="1" applyBorder="1" applyAlignment="1">
      <alignment vertical="top"/>
    </xf>
    <xf numFmtId="0" fontId="7" fillId="12" borderId="0" xfId="0" applyFont="1" applyFill="1" applyBorder="1" applyAlignment="1">
      <alignment vertical="top"/>
    </xf>
    <xf numFmtId="0" fontId="0" fillId="22" borderId="0" xfId="0" applyFill="1"/>
    <xf numFmtId="3" fontId="21" fillId="0" borderId="0" xfId="0" applyNumberFormat="1" applyFont="1" applyBorder="1" applyAlignment="1">
      <alignment vertical="top"/>
    </xf>
    <xf numFmtId="9" fontId="21" fillId="0" borderId="0" xfId="0" applyNumberFormat="1" applyFont="1" applyBorder="1" applyAlignment="1">
      <alignment vertical="top"/>
    </xf>
    <xf numFmtId="3" fontId="0" fillId="0" borderId="0" xfId="0" applyNumberFormat="1" applyAlignment="1">
      <alignment vertical="top"/>
    </xf>
    <xf numFmtId="166" fontId="0" fillId="12" borderId="0" xfId="0" applyNumberFormat="1" applyFill="1"/>
    <xf numFmtId="166" fontId="0" fillId="12" borderId="14" xfId="0" applyNumberFormat="1" applyFill="1" applyBorder="1"/>
    <xf numFmtId="166" fontId="0" fillId="12" borderId="0" xfId="0" applyNumberFormat="1" applyFill="1" applyBorder="1"/>
    <xf numFmtId="0" fontId="0" fillId="0" borderId="0" xfId="5" applyNumberFormat="1" applyFont="1"/>
    <xf numFmtId="0" fontId="31" fillId="0" borderId="0" xfId="0" applyFont="1"/>
    <xf numFmtId="0" fontId="32" fillId="0" borderId="0" xfId="0" applyFont="1"/>
    <xf numFmtId="0" fontId="9" fillId="6" borderId="4" xfId="0" applyFont="1" applyFill="1" applyBorder="1" applyAlignment="1">
      <alignment horizontal="center"/>
    </xf>
    <xf numFmtId="170" fontId="11" fillId="6" borderId="0" xfId="0" quotePrefix="1" applyNumberFormat="1" applyFont="1" applyFill="1" applyAlignment="1">
      <alignment horizontal="right"/>
    </xf>
    <xf numFmtId="169" fontId="12" fillId="6" borderId="0" xfId="0" applyNumberFormat="1" applyFont="1" applyFill="1" applyAlignment="1">
      <alignment horizontal="center"/>
    </xf>
    <xf numFmtId="0" fontId="4" fillId="0" borderId="0" xfId="3" applyAlignment="1" applyProtection="1"/>
    <xf numFmtId="9" fontId="0" fillId="12" borderId="0" xfId="0" applyNumberFormat="1" applyFill="1"/>
    <xf numFmtId="3" fontId="0" fillId="12" borderId="0" xfId="0" applyNumberFormat="1" applyFill="1"/>
    <xf numFmtId="165" fontId="0" fillId="12" borderId="0" xfId="0" applyNumberFormat="1" applyFill="1"/>
    <xf numFmtId="37" fontId="0" fillId="0" borderId="0" xfId="0" applyNumberFormat="1"/>
    <xf numFmtId="171" fontId="0" fillId="12" borderId="0" xfId="0" applyNumberFormat="1" applyFill="1"/>
    <xf numFmtId="171" fontId="0" fillId="0" borderId="0" xfId="0" applyNumberFormat="1"/>
    <xf numFmtId="168" fontId="1" fillId="0" borderId="0" xfId="0" applyNumberFormat="1" applyFont="1"/>
    <xf numFmtId="0" fontId="0" fillId="0" borderId="0" xfId="0" applyAlignment="1">
      <alignment horizontal="center"/>
    </xf>
    <xf numFmtId="0" fontId="33" fillId="0" borderId="0" xfId="0" applyFont="1" applyAlignment="1">
      <alignment horizontal="center"/>
    </xf>
    <xf numFmtId="0" fontId="0" fillId="23" borderId="0" xfId="0" applyFill="1"/>
    <xf numFmtId="0" fontId="0" fillId="23" borderId="0" xfId="0" applyFont="1" applyFill="1"/>
    <xf numFmtId="0" fontId="1" fillId="23" borderId="0" xfId="0" applyFont="1" applyFill="1"/>
    <xf numFmtId="3" fontId="0" fillId="23" borderId="0" xfId="0" applyNumberFormat="1" applyFill="1"/>
    <xf numFmtId="6" fontId="0" fillId="23" borderId="0" xfId="0" applyNumberFormat="1" applyFill="1"/>
    <xf numFmtId="3" fontId="0" fillId="23" borderId="0" xfId="2" applyNumberFormat="1" applyFont="1" applyFill="1"/>
    <xf numFmtId="165" fontId="0" fillId="23" borderId="0" xfId="2" applyNumberFormat="1" applyFont="1" applyFill="1"/>
    <xf numFmtId="9" fontId="0" fillId="0" borderId="0" xfId="5" applyFont="1" applyFill="1" applyBorder="1"/>
    <xf numFmtId="9" fontId="2" fillId="0" borderId="0" xfId="5" applyFont="1" applyFill="1" applyBorder="1"/>
    <xf numFmtId="9" fontId="2" fillId="0" borderId="0" xfId="0" applyNumberFormat="1" applyFont="1"/>
    <xf numFmtId="0" fontId="0" fillId="19" borderId="0" xfId="0" applyFont="1" applyFill="1"/>
    <xf numFmtId="3" fontId="0" fillId="13" borderId="0" xfId="0" applyNumberFormat="1" applyFont="1" applyFill="1"/>
    <xf numFmtId="3" fontId="0" fillId="11" borderId="0" xfId="0" applyNumberFormat="1" applyFont="1" applyFill="1"/>
    <xf numFmtId="3" fontId="0" fillId="19" borderId="0" xfId="0" applyNumberFormat="1" applyFont="1" applyFill="1"/>
    <xf numFmtId="3" fontId="0" fillId="8" borderId="0" xfId="0" applyNumberFormat="1" applyFont="1" applyFill="1"/>
    <xf numFmtId="3" fontId="0" fillId="8" borderId="0" xfId="1" applyNumberFormat="1" applyFont="1" applyFill="1"/>
    <xf numFmtId="3" fontId="0" fillId="10" borderId="0" xfId="0" applyNumberFormat="1" applyFont="1" applyFill="1"/>
    <xf numFmtId="3" fontId="0" fillId="4" borderId="0" xfId="0" applyNumberFormat="1" applyFont="1" applyFill="1"/>
    <xf numFmtId="3" fontId="0" fillId="8" borderId="0" xfId="1" applyNumberFormat="1" applyFont="1" applyFill="1" applyAlignment="1">
      <alignment horizontal="right"/>
    </xf>
    <xf numFmtId="164" fontId="2" fillId="0" borderId="0" xfId="1" applyNumberFormat="1" applyFont="1"/>
  </cellXfs>
  <cellStyles count="231">
    <cellStyle name="Comma" xfId="1" builtinId="3"/>
    <cellStyle name="Currency" xfId="2" builtinId="4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Followed Hyperlink" xfId="151" builtinId="9" hidden="1"/>
    <cellStyle name="Followed Hyperlink" xfId="152" builtinId="9" hidden="1"/>
    <cellStyle name="Followed Hyperlink" xfId="153" builtinId="9" hidden="1"/>
    <cellStyle name="Followed Hyperlink" xfId="154" builtinId="9" hidden="1"/>
    <cellStyle name="Followed Hyperlink" xfId="155" builtinId="9" hidden="1"/>
    <cellStyle name="Followed Hyperlink" xfId="156" builtinId="9" hidden="1"/>
    <cellStyle name="Followed Hyperlink" xfId="157" builtinId="9" hidden="1"/>
    <cellStyle name="Followed Hyperlink" xfId="158" builtinId="9" hidden="1"/>
    <cellStyle name="Followed Hyperlink" xfId="159" builtinId="9" hidden="1"/>
    <cellStyle name="Followed Hyperlink" xfId="160" builtinId="9" hidden="1"/>
    <cellStyle name="Followed Hyperlink" xfId="161" builtinId="9" hidden="1"/>
    <cellStyle name="Followed Hyperlink" xfId="162" builtinId="9" hidden="1"/>
    <cellStyle name="Followed Hyperlink" xfId="163" builtinId="9" hidden="1"/>
    <cellStyle name="Followed Hyperlink" xfId="164" builtinId="9" hidden="1"/>
    <cellStyle name="Followed Hyperlink" xfId="165" builtinId="9" hidden="1"/>
    <cellStyle name="Followed Hyperlink" xfId="166" builtinId="9" hidden="1"/>
    <cellStyle name="Followed Hyperlink" xfId="167" builtinId="9" hidden="1"/>
    <cellStyle name="Followed Hyperlink" xfId="168" builtinId="9" hidden="1"/>
    <cellStyle name="Followed Hyperlink" xfId="169" builtinId="9" hidden="1"/>
    <cellStyle name="Followed Hyperlink" xfId="170" builtinId="9" hidden="1"/>
    <cellStyle name="Followed Hyperlink" xfId="171" builtinId="9" hidden="1"/>
    <cellStyle name="Followed Hyperlink" xfId="172" builtinId="9" hidden="1"/>
    <cellStyle name="Followed Hyperlink" xfId="173" builtinId="9" hidden="1"/>
    <cellStyle name="Followed Hyperlink" xfId="174" builtinId="9" hidden="1"/>
    <cellStyle name="Followed Hyperlink" xfId="175" builtinId="9" hidden="1"/>
    <cellStyle name="Followed Hyperlink" xfId="176" builtinId="9" hidden="1"/>
    <cellStyle name="Followed Hyperlink" xfId="177" builtinId="9" hidden="1"/>
    <cellStyle name="Followed Hyperlink" xfId="178" builtinId="9" hidden="1"/>
    <cellStyle name="Followed Hyperlink" xfId="179" builtinId="9" hidden="1"/>
    <cellStyle name="Followed Hyperlink" xfId="180" builtinId="9" hidden="1"/>
    <cellStyle name="Followed Hyperlink" xfId="181" builtinId="9" hidden="1"/>
    <cellStyle name="Followed Hyperlink" xfId="182" builtinId="9" hidden="1"/>
    <cellStyle name="Followed Hyperlink" xfId="183" builtinId="9" hidden="1"/>
    <cellStyle name="Followed Hyperlink" xfId="184" builtinId="9" hidden="1"/>
    <cellStyle name="Followed Hyperlink" xfId="185" builtinId="9" hidden="1"/>
    <cellStyle name="Followed Hyperlink" xfId="186" builtinId="9" hidden="1"/>
    <cellStyle name="Followed Hyperlink" xfId="187" builtinId="9" hidden="1"/>
    <cellStyle name="Followed Hyperlink" xfId="188" builtinId="9" hidden="1"/>
    <cellStyle name="Followed Hyperlink" xfId="189" builtinId="9" hidden="1"/>
    <cellStyle name="Followed Hyperlink" xfId="190" builtinId="9" hidden="1"/>
    <cellStyle name="Followed Hyperlink" xfId="191" builtinId="9" hidden="1"/>
    <cellStyle name="Followed Hyperlink" xfId="192" builtinId="9" hidden="1"/>
    <cellStyle name="Followed Hyperlink" xfId="193" builtinId="9" hidden="1"/>
    <cellStyle name="Followed Hyperlink" xfId="194" builtinId="9" hidden="1"/>
    <cellStyle name="Followed Hyperlink" xfId="195" builtinId="9" hidden="1"/>
    <cellStyle name="Followed Hyperlink" xfId="196" builtinId="9" hidden="1"/>
    <cellStyle name="Followed Hyperlink" xfId="197" builtinId="9" hidden="1"/>
    <cellStyle name="Followed Hyperlink" xfId="198" builtinId="9" hidden="1"/>
    <cellStyle name="Followed Hyperlink" xfId="199" builtinId="9" hidden="1"/>
    <cellStyle name="Followed Hyperlink" xfId="200" builtinId="9" hidden="1"/>
    <cellStyle name="Followed Hyperlink" xfId="201" builtinId="9" hidden="1"/>
    <cellStyle name="Followed Hyperlink" xfId="202" builtinId="9" hidden="1"/>
    <cellStyle name="Followed Hyperlink" xfId="203" builtinId="9" hidden="1"/>
    <cellStyle name="Followed Hyperlink" xfId="204" builtinId="9" hidden="1"/>
    <cellStyle name="Followed Hyperlink" xfId="205" builtinId="9" hidden="1"/>
    <cellStyle name="Followed Hyperlink" xfId="206" builtinId="9" hidden="1"/>
    <cellStyle name="Followed Hyperlink" xfId="207" builtinId="9" hidden="1"/>
    <cellStyle name="Followed Hyperlink" xfId="208" builtinId="9" hidden="1"/>
    <cellStyle name="Followed Hyperlink" xfId="209" builtinId="9" hidden="1"/>
    <cellStyle name="Followed Hyperlink" xfId="210" builtinId="9" hidden="1"/>
    <cellStyle name="Followed Hyperlink" xfId="211" builtinId="9" hidden="1"/>
    <cellStyle name="Followed Hyperlink" xfId="212" builtinId="9" hidden="1"/>
    <cellStyle name="Followed Hyperlink" xfId="213" builtinId="9" hidden="1"/>
    <cellStyle name="Followed Hyperlink" xfId="214" builtinId="9" hidden="1"/>
    <cellStyle name="Followed Hyperlink" xfId="215" builtinId="9" hidden="1"/>
    <cellStyle name="Followed Hyperlink" xfId="216" builtinId="9" hidden="1"/>
    <cellStyle name="Followed Hyperlink" xfId="217" builtinId="9" hidden="1"/>
    <cellStyle name="Followed Hyperlink" xfId="218" builtinId="9" hidden="1"/>
    <cellStyle name="Followed Hyperlink" xfId="219" builtinId="9" hidden="1"/>
    <cellStyle name="Followed Hyperlink" xfId="220" builtinId="9" hidden="1"/>
    <cellStyle name="Followed Hyperlink" xfId="221" builtinId="9" hidden="1"/>
    <cellStyle name="Followed Hyperlink" xfId="222" builtinId="9" hidden="1"/>
    <cellStyle name="Followed Hyperlink" xfId="223" builtinId="9" hidden="1"/>
    <cellStyle name="Followed Hyperlink" xfId="224" builtinId="9" hidden="1"/>
    <cellStyle name="Followed Hyperlink" xfId="225" builtinId="9" hidden="1"/>
    <cellStyle name="Followed Hyperlink" xfId="226" builtinId="9" hidden="1"/>
    <cellStyle name="Followed Hyperlink" xfId="227" builtinId="9" hidden="1"/>
    <cellStyle name="Followed Hyperlink" xfId="228" builtinId="9" hidden="1"/>
    <cellStyle name="Followed Hyperlink" xfId="229" builtinId="9" hidden="1"/>
    <cellStyle name="Followed Hyperlink" xfId="230" builtinId="9" hidden="1"/>
    <cellStyle name="Hyperlink" xfId="3" builtinId="8"/>
    <cellStyle name="Normal" xfId="0" builtinId="0"/>
    <cellStyle name="Normal_KSL4-100" xfId="4"/>
    <cellStyle name="Percent" xfId="5" builtinId="5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FF"/>
      <color rgb="FF800080"/>
    </mruColors>
  </colors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Economic Work: Passenger-km/liter</a:t>
            </a:r>
          </a:p>
        </c:rich>
      </c:tx>
      <c:layout>
        <c:manualLayout>
          <c:xMode val="edge"/>
          <c:yMode val="edge"/>
          <c:x val="0.342553687466863"/>
          <c:y val="0.110497237569061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Economic Work: Passenger-miles per liter</c:v>
          </c:tx>
          <c:invertIfNegative val="0"/>
          <c:dPt>
            <c:idx val="0"/>
            <c:invertIfNegative val="0"/>
            <c:bubble3D val="0"/>
            <c:spPr>
              <a:solidFill>
                <a:srgbClr val="FF00FF"/>
              </a:solidFill>
            </c:spPr>
          </c:dPt>
          <c:dPt>
            <c:idx val="1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2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3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4"/>
            <c:invertIfNegative val="0"/>
            <c:bubble3D val="0"/>
            <c:spPr>
              <a:solidFill>
                <a:srgbClr val="0000FF"/>
              </a:solidFill>
            </c:spPr>
          </c:dPt>
          <c:dPt>
            <c:idx val="5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</c:spPr>
          </c:dPt>
          <c:dPt>
            <c:idx val="6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</c:spPr>
          </c:dPt>
          <c:dPt>
            <c:idx val="7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</c:spPr>
          </c:dPt>
          <c:dPt>
            <c:idx val="8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</c:spPr>
          </c:dPt>
          <c:dPt>
            <c:idx val="9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</c:spPr>
          </c:dPt>
          <c:dPt>
            <c:idx val="10"/>
            <c:invertIfNegative val="0"/>
            <c:bubble3D val="0"/>
            <c:spPr>
              <a:solidFill>
                <a:srgbClr val="00FFFF"/>
              </a:solidFill>
            </c:spPr>
          </c:dPt>
          <c:dPt>
            <c:idx val="11"/>
            <c:invertIfNegative val="0"/>
            <c:bubble3D val="0"/>
            <c:spPr>
              <a:solidFill>
                <a:srgbClr val="008000"/>
              </a:solidFill>
            </c:spPr>
          </c:dPt>
          <c:cat>
            <c:strRef>
              <c:f>'JPods Summary'!$P$4:$P$15</c:f>
              <c:strCache>
                <c:ptCount val="12"/>
                <c:pt idx="0">
                  <c:v>Demand Response</c:v>
                </c:pt>
                <c:pt idx="1">
                  <c:v>Bus, Transit</c:v>
                </c:pt>
                <c:pt idx="2">
                  <c:v>Personal trucks</c:v>
                </c:pt>
                <c:pt idx="3">
                  <c:v>Cars</c:v>
                </c:pt>
                <c:pt idx="4">
                  <c:v>Air, domestic</c:v>
                </c:pt>
                <c:pt idx="5">
                  <c:v>Rail, Commuter</c:v>
                </c:pt>
                <c:pt idx="6">
                  <c:v>Rail, Transit heavy</c:v>
                </c:pt>
                <c:pt idx="7">
                  <c:v>Rail, Amtrak</c:v>
                </c:pt>
                <c:pt idx="8">
                  <c:v>Motorcycles</c:v>
                </c:pt>
                <c:pt idx="9">
                  <c:v>Van pool</c:v>
                </c:pt>
                <c:pt idx="10">
                  <c:v>Standard</c:v>
                </c:pt>
                <c:pt idx="11">
                  <c:v>JPods</c:v>
                </c:pt>
              </c:strCache>
            </c:strRef>
          </c:cat>
          <c:val>
            <c:numRef>
              <c:f>'JPods Summary'!$Q$4:$Q$15</c:f>
              <c:numCache>
                <c:formatCode>General</c:formatCode>
                <c:ptCount val="12"/>
                <c:pt idx="0">
                  <c:v>4.1</c:v>
                </c:pt>
                <c:pt idx="1">
                  <c:v>13.9</c:v>
                </c:pt>
                <c:pt idx="2">
                  <c:v>15.0</c:v>
                </c:pt>
                <c:pt idx="3">
                  <c:v>16.8</c:v>
                </c:pt>
                <c:pt idx="4">
                  <c:v>18.1</c:v>
                </c:pt>
                <c:pt idx="5">
                  <c:v>19.7</c:v>
                </c:pt>
                <c:pt idx="6">
                  <c:v>21.2</c:v>
                </c:pt>
                <c:pt idx="7">
                  <c:v>22.3</c:v>
                </c:pt>
                <c:pt idx="8">
                  <c:v>31.8</c:v>
                </c:pt>
                <c:pt idx="9">
                  <c:v>44.7</c:v>
                </c:pt>
                <c:pt idx="10">
                  <c:v>62.0</c:v>
                </c:pt>
                <c:pt idx="11">
                  <c:v>136.4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13668824"/>
        <c:axId val="-1999324952"/>
      </c:barChart>
      <c:catAx>
        <c:axId val="-2013668824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5400000" vert="horz"/>
          <a:lstStyle/>
          <a:p>
            <a:pPr>
              <a:defRPr sz="1400"/>
            </a:pPr>
            <a:endParaRPr lang="en-US"/>
          </a:p>
        </c:txPr>
        <c:crossAx val="-1999324952"/>
        <c:crosses val="autoZero"/>
        <c:auto val="1"/>
        <c:lblAlgn val="ctr"/>
        <c:lblOffset val="100"/>
        <c:noMultiLvlLbl val="0"/>
      </c:catAx>
      <c:valAx>
        <c:axId val="-19993249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1366882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200" baseline="0"/>
      </a:pPr>
      <a:endParaRPr lang="en-US"/>
    </a:p>
  </c:txPr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Pollution</a:t>
            </a:r>
          </a:p>
          <a:p>
            <a:pPr>
              <a:defRPr/>
            </a:pPr>
            <a:r>
              <a:rPr lang="en-US"/>
              <a:t>Pounds</a:t>
            </a:r>
            <a:r>
              <a:rPr lang="en-US" baseline="0"/>
              <a:t> of CO2 per Passenger-mile</a:t>
            </a:r>
            <a:endParaRPr lang="en-US"/>
          </a:p>
        </c:rich>
      </c:tx>
      <c:layout>
        <c:manualLayout>
          <c:xMode val="edge"/>
          <c:yMode val="edge"/>
          <c:x val="0.363611636045494"/>
          <c:y val="0.0585048754062838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633726126786006"/>
          <c:y val="0.0172687487736839"/>
          <c:w val="0.911591184665713"/>
          <c:h val="0.792662577524505"/>
        </c:manualLayout>
      </c:layout>
      <c:barChart>
        <c:barDir val="col"/>
        <c:grouping val="clustered"/>
        <c:varyColors val="0"/>
        <c:ser>
          <c:idx val="0"/>
          <c:order val="0"/>
          <c:tx>
            <c:v>Pollution</c:v>
          </c:tx>
          <c:spPr>
            <a:solidFill>
              <a:srgbClr val="FF00FF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1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2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3"/>
            <c:invertIfNegative val="0"/>
            <c:bubble3D val="0"/>
            <c:spPr>
              <a:solidFill>
                <a:srgbClr val="0000FF"/>
              </a:solidFill>
            </c:spPr>
          </c:dPt>
          <c:dPt>
            <c:idx val="4"/>
            <c:invertIfNegative val="0"/>
            <c:bubble3D val="0"/>
            <c:spPr>
              <a:solidFill>
                <a:schemeClr val="accent6">
                  <a:lumMod val="20000"/>
                  <a:lumOff val="80000"/>
                </a:schemeClr>
              </a:solidFill>
            </c:spPr>
          </c:dPt>
          <c:dPt>
            <c:idx val="5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</c:spPr>
          </c:dPt>
          <c:dPt>
            <c:idx val="6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</c:spPr>
          </c:dPt>
          <c:dPt>
            <c:idx val="7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</c:spPr>
          </c:dPt>
          <c:dPt>
            <c:idx val="8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</c:spPr>
          </c:dPt>
          <c:dPt>
            <c:idx val="9"/>
            <c:invertIfNegative val="0"/>
            <c:bubble3D val="0"/>
            <c:spPr>
              <a:solidFill>
                <a:srgbClr val="00FFFF"/>
              </a:solidFill>
            </c:spPr>
          </c:dPt>
          <c:dPt>
            <c:idx val="10"/>
            <c:invertIfNegative val="0"/>
            <c:bubble3D val="0"/>
            <c:spPr>
              <a:solidFill>
                <a:srgbClr val="008000"/>
              </a:solidFill>
            </c:spPr>
          </c:dPt>
          <c:cat>
            <c:strRef>
              <c:f>'JPods Summary'!$P$25:$P$35</c:f>
              <c:strCache>
                <c:ptCount val="11"/>
                <c:pt idx="0">
                  <c:v>Bus, Transit</c:v>
                </c:pt>
                <c:pt idx="1">
                  <c:v>Personal trucks</c:v>
                </c:pt>
                <c:pt idx="2">
                  <c:v>Cars</c:v>
                </c:pt>
                <c:pt idx="3">
                  <c:v>Air, domestic</c:v>
                </c:pt>
                <c:pt idx="4">
                  <c:v>Rail, Commuter</c:v>
                </c:pt>
                <c:pt idx="5">
                  <c:v>Rail, Transit heavy</c:v>
                </c:pt>
                <c:pt idx="6">
                  <c:v>Rail, Amtrak</c:v>
                </c:pt>
                <c:pt idx="7">
                  <c:v>Motorcycles</c:v>
                </c:pt>
                <c:pt idx="8">
                  <c:v>Van pool</c:v>
                </c:pt>
                <c:pt idx="9">
                  <c:v>Standard</c:v>
                </c:pt>
                <c:pt idx="10">
                  <c:v>JPods</c:v>
                </c:pt>
              </c:strCache>
            </c:strRef>
          </c:cat>
          <c:val>
            <c:numRef>
              <c:f>'JPods Summary'!$R$25:$R$35</c:f>
              <c:numCache>
                <c:formatCode>General</c:formatCode>
                <c:ptCount val="11"/>
                <c:pt idx="0">
                  <c:v>0.740740740740741</c:v>
                </c:pt>
                <c:pt idx="1">
                  <c:v>0.689655172413793</c:v>
                </c:pt>
                <c:pt idx="2">
                  <c:v>0.613496932515337</c:v>
                </c:pt>
                <c:pt idx="3">
                  <c:v>0.56980056980057</c:v>
                </c:pt>
                <c:pt idx="4">
                  <c:v>0.523560209424084</c:v>
                </c:pt>
                <c:pt idx="5">
                  <c:v>0.48661800486618</c:v>
                </c:pt>
                <c:pt idx="6">
                  <c:v>0.462962962962963</c:v>
                </c:pt>
                <c:pt idx="7">
                  <c:v>0.324149108589951</c:v>
                </c:pt>
                <c:pt idx="8">
                  <c:v>0.23094688221709</c:v>
                </c:pt>
                <c:pt idx="9">
                  <c:v>0.166666666666667</c:v>
                </c:pt>
                <c:pt idx="10">
                  <c:v>0.0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37123656"/>
        <c:axId val="-2024167064"/>
      </c:barChart>
      <c:catAx>
        <c:axId val="-21371236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-2024167064"/>
        <c:crosses val="autoZero"/>
        <c:auto val="1"/>
        <c:lblAlgn val="ctr"/>
        <c:lblOffset val="100"/>
        <c:noMultiLvlLbl val="0"/>
      </c:catAx>
      <c:valAx>
        <c:axId val="-2024167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712365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400"/>
      </a:pPr>
      <a:endParaRPr lang="en-US"/>
    </a:p>
  </c:txPr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 per Passenger-mile</a:t>
            </a:r>
          </a:p>
          <a:p>
            <a:pPr>
              <a:defRPr/>
            </a:pPr>
            <a:r>
              <a:rPr lang="en-US"/>
              <a:t>Pollution correlates</a:t>
            </a:r>
            <a:r>
              <a:rPr lang="en-US" baseline="0"/>
              <a:t> to costs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501408900062533"/>
          <c:y val="0.1444"/>
          <c:w val="0.932030909021299"/>
          <c:h val="0.790906771653543"/>
        </c:manualLayout>
      </c:layout>
      <c:barChart>
        <c:barDir val="col"/>
        <c:grouping val="clustered"/>
        <c:varyColors val="0"/>
        <c:ser>
          <c:idx val="0"/>
          <c:order val="0"/>
          <c:tx>
            <c:v>Cost per Passenger-mile</c:v>
          </c:tx>
          <c:invertIfNegative val="0"/>
          <c:dPt>
            <c:idx val="0"/>
            <c:invertIfNegative val="0"/>
            <c:bubble3D val="0"/>
            <c:spPr>
              <a:solidFill>
                <a:srgbClr val="3366FF"/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</c:spPr>
          </c:dPt>
          <c:dPt>
            <c:idx val="2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</c:spPr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</c:dPt>
          <c:dPt>
            <c:idx val="4"/>
            <c:invertIfNegative val="0"/>
            <c:bubble3D val="0"/>
            <c:spPr>
              <a:solidFill>
                <a:srgbClr val="800080"/>
              </a:solidFill>
            </c:spPr>
          </c:dPt>
          <c:dPt>
            <c:idx val="5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6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7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8"/>
            <c:invertIfNegative val="0"/>
            <c:bubble3D val="0"/>
            <c:spPr>
              <a:solidFill>
                <a:srgbClr val="008000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'JPods Summary'!$L$25:$L$33</c:f>
              <c:strCache>
                <c:ptCount val="9"/>
                <c:pt idx="0">
                  <c:v>Ferry</c:v>
                </c:pt>
                <c:pt idx="1">
                  <c:v>Heavy Rail</c:v>
                </c:pt>
                <c:pt idx="2">
                  <c:v>Commuter Rail</c:v>
                </c:pt>
                <c:pt idx="3">
                  <c:v>Light Rail</c:v>
                </c:pt>
                <c:pt idx="4">
                  <c:v>Demand Response</c:v>
                </c:pt>
                <c:pt idx="5">
                  <c:v>Bus</c:v>
                </c:pt>
                <c:pt idx="6">
                  <c:v>Trolly Bus</c:v>
                </c:pt>
                <c:pt idx="7">
                  <c:v>Car</c:v>
                </c:pt>
                <c:pt idx="8">
                  <c:v>JPods</c:v>
                </c:pt>
              </c:strCache>
            </c:strRef>
          </c:cat>
          <c:val>
            <c:numRef>
              <c:f>'JPods Summary'!$M$25:$M$33</c:f>
              <c:numCache>
                <c:formatCode>General</c:formatCode>
                <c:ptCount val="9"/>
                <c:pt idx="0">
                  <c:v>0.94</c:v>
                </c:pt>
                <c:pt idx="1">
                  <c:v>0.52</c:v>
                </c:pt>
                <c:pt idx="2">
                  <c:v>0.34</c:v>
                </c:pt>
                <c:pt idx="3">
                  <c:v>0.76</c:v>
                </c:pt>
                <c:pt idx="4">
                  <c:v>2.76</c:v>
                </c:pt>
                <c:pt idx="5">
                  <c:v>1.45</c:v>
                </c:pt>
                <c:pt idx="6">
                  <c:v>2.34</c:v>
                </c:pt>
                <c:pt idx="7">
                  <c:v>0.38</c:v>
                </c:pt>
                <c:pt idx="8">
                  <c:v>0.03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14906152"/>
        <c:axId val="-2014904744"/>
      </c:barChart>
      <c:catAx>
        <c:axId val="-2014906152"/>
        <c:scaling>
          <c:orientation val="minMax"/>
        </c:scaling>
        <c:delete val="0"/>
        <c:axPos val="b"/>
        <c:majorTickMark val="out"/>
        <c:minorTickMark val="none"/>
        <c:tickLblPos val="nextTo"/>
        <c:crossAx val="-2014904744"/>
        <c:crosses val="autoZero"/>
        <c:auto val="1"/>
        <c:lblAlgn val="ctr"/>
        <c:lblOffset val="100"/>
        <c:noMultiLvlLbl val="0"/>
      </c:catAx>
      <c:valAx>
        <c:axId val="-2014904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149061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Cost per Passenger-mile</a:t>
            </a:r>
          </a:p>
          <a:p>
            <a:pPr>
              <a:defRPr/>
            </a:pPr>
            <a:r>
              <a:rPr lang="en-US"/>
              <a:t>Pollution correlates</a:t>
            </a:r>
            <a:r>
              <a:rPr lang="en-US" baseline="0"/>
              <a:t> to costs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501408900062533"/>
          <c:y val="0.1444"/>
          <c:w val="0.932030909021299"/>
          <c:h val="0.790906771653543"/>
        </c:manualLayout>
      </c:layout>
      <c:barChart>
        <c:barDir val="col"/>
        <c:grouping val="clustered"/>
        <c:varyColors val="0"/>
        <c:ser>
          <c:idx val="0"/>
          <c:order val="0"/>
          <c:tx>
            <c:v>Cost per Passenger-mile</c:v>
          </c:tx>
          <c:invertIfNegative val="0"/>
          <c:dPt>
            <c:idx val="0"/>
            <c:invertIfNegative val="0"/>
            <c:bubble3D val="0"/>
            <c:spPr>
              <a:solidFill>
                <a:srgbClr val="3366FF"/>
              </a:solidFill>
            </c:spPr>
          </c:dPt>
          <c:dPt>
            <c:idx val="1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</c:spPr>
          </c:dPt>
          <c:dPt>
            <c:idx val="2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</c:spPr>
          </c:dPt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</c:spPr>
          </c:dPt>
          <c:dPt>
            <c:idx val="4"/>
            <c:invertIfNegative val="0"/>
            <c:bubble3D val="0"/>
            <c:spPr>
              <a:solidFill>
                <a:srgbClr val="800080"/>
              </a:solidFill>
            </c:spPr>
          </c:dPt>
          <c:dPt>
            <c:idx val="5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6"/>
            <c:invertIfNegative val="0"/>
            <c:bubble3D val="0"/>
            <c:spPr>
              <a:solidFill>
                <a:srgbClr val="FF0000"/>
              </a:solidFill>
            </c:spPr>
          </c:dPt>
          <c:dPt>
            <c:idx val="7"/>
            <c:invertIfNegative val="0"/>
            <c:bubble3D val="0"/>
            <c:spPr>
              <a:solidFill>
                <a:schemeClr val="tx1"/>
              </a:solidFill>
            </c:spPr>
          </c:dPt>
          <c:dPt>
            <c:idx val="8"/>
            <c:invertIfNegative val="0"/>
            <c:bubble3D val="0"/>
            <c:spPr>
              <a:solidFill>
                <a:srgbClr val="008000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'JPods Summary'!$L$25:$L$33</c:f>
              <c:strCache>
                <c:ptCount val="9"/>
                <c:pt idx="0">
                  <c:v>Ferry</c:v>
                </c:pt>
                <c:pt idx="1">
                  <c:v>Heavy Rail</c:v>
                </c:pt>
                <c:pt idx="2">
                  <c:v>Commuter Rail</c:v>
                </c:pt>
                <c:pt idx="3">
                  <c:v>Light Rail</c:v>
                </c:pt>
                <c:pt idx="4">
                  <c:v>Demand Response</c:v>
                </c:pt>
                <c:pt idx="5">
                  <c:v>Bus</c:v>
                </c:pt>
                <c:pt idx="6">
                  <c:v>Trolly Bus</c:v>
                </c:pt>
                <c:pt idx="7">
                  <c:v>Car</c:v>
                </c:pt>
                <c:pt idx="8">
                  <c:v>JPods</c:v>
                </c:pt>
              </c:strCache>
            </c:strRef>
          </c:cat>
          <c:val>
            <c:numRef>
              <c:f>'JPods Summary'!$M$25:$M$33</c:f>
              <c:numCache>
                <c:formatCode>General</c:formatCode>
                <c:ptCount val="9"/>
                <c:pt idx="0">
                  <c:v>0.94</c:v>
                </c:pt>
                <c:pt idx="1">
                  <c:v>0.52</c:v>
                </c:pt>
                <c:pt idx="2">
                  <c:v>0.34</c:v>
                </c:pt>
                <c:pt idx="3">
                  <c:v>0.76</c:v>
                </c:pt>
                <c:pt idx="4">
                  <c:v>2.76</c:v>
                </c:pt>
                <c:pt idx="5">
                  <c:v>1.45</c:v>
                </c:pt>
                <c:pt idx="6">
                  <c:v>2.34</c:v>
                </c:pt>
                <c:pt idx="7">
                  <c:v>0.38</c:v>
                </c:pt>
                <c:pt idx="8">
                  <c:v>0.03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146562520"/>
        <c:axId val="-2131634520"/>
      </c:barChart>
      <c:catAx>
        <c:axId val="-214656252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31634520"/>
        <c:crosses val="autoZero"/>
        <c:auto val="1"/>
        <c:lblAlgn val="ctr"/>
        <c:lblOffset val="100"/>
        <c:noMultiLvlLbl val="0"/>
      </c:catAx>
      <c:valAx>
        <c:axId val="-21316345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65625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127000</xdr:colOff>
      <xdr:row>2</xdr:row>
      <xdr:rowOff>25400</xdr:rowOff>
    </xdr:from>
    <xdr:to>
      <xdr:col>25</xdr:col>
      <xdr:colOff>342900</xdr:colOff>
      <xdr:row>19</xdr:row>
      <xdr:rowOff>0</xdr:rowOff>
    </xdr:to>
    <xdr:graphicFrame macro="">
      <xdr:nvGraphicFramePr>
        <xdr:cNvPr id="2" name="Chart 1" descr="Value produced per Unit of Energy" title="Economic Work: Passenger-miles per gallon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190500</xdr:colOff>
      <xdr:row>21</xdr:row>
      <xdr:rowOff>152400</xdr:rowOff>
    </xdr:from>
    <xdr:to>
      <xdr:col>25</xdr:col>
      <xdr:colOff>317500</xdr:colOff>
      <xdr:row>40</xdr:row>
      <xdr:rowOff>16969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852069</xdr:colOff>
      <xdr:row>0</xdr:row>
      <xdr:rowOff>152400</xdr:rowOff>
    </xdr:from>
    <xdr:to>
      <xdr:col>14</xdr:col>
      <xdr:colOff>2107032</xdr:colOff>
      <xdr:row>19</xdr:row>
      <xdr:rowOff>88900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558800</xdr:colOff>
      <xdr:row>69</xdr:row>
      <xdr:rowOff>139700</xdr:rowOff>
    </xdr:from>
    <xdr:to>
      <xdr:col>10</xdr:col>
      <xdr:colOff>787400</xdr:colOff>
      <xdr:row>95</xdr:row>
      <xdr:rowOff>152400</xdr:rowOff>
    </xdr:to>
    <xdr:pic>
      <xdr:nvPicPr>
        <xdr:cNvPr id="3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7900" y="11569700"/>
          <a:ext cx="4432300" cy="430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584200</xdr:colOff>
      <xdr:row>42</xdr:row>
      <xdr:rowOff>76200</xdr:rowOff>
    </xdr:from>
    <xdr:to>
      <xdr:col>10</xdr:col>
      <xdr:colOff>673100</xdr:colOff>
      <xdr:row>63</xdr:row>
      <xdr:rowOff>127000</xdr:rowOff>
    </xdr:to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0" y="7010400"/>
          <a:ext cx="4292600" cy="3556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571500</xdr:colOff>
      <xdr:row>5</xdr:row>
      <xdr:rowOff>152400</xdr:rowOff>
    </xdr:from>
    <xdr:to>
      <xdr:col>17</xdr:col>
      <xdr:colOff>254000</xdr:colOff>
      <xdr:row>34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pods.com/jaipur" TargetMode="External"/><Relationship Id="rId2" Type="http://schemas.openxmlformats.org/officeDocument/2006/relationships/hyperlink" Target="http://www.eia.gov/tools/faqs/faq.cfm?id=307&amp;t=11" TargetMode="External"/><Relationship Id="rId3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ahleinc.com/docs/ConditionsofSale2008.pdf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7"/>
  <sheetViews>
    <sheetView workbookViewId="0">
      <selection activeCell="H25" sqref="H25"/>
    </sheetView>
  </sheetViews>
  <sheetFormatPr baseColWidth="10" defaultRowHeight="13" x14ac:dyDescent="0"/>
  <cols>
    <col min="1" max="1" width="5" customWidth="1"/>
    <col min="2" max="2" width="3.7109375" style="119" customWidth="1"/>
    <col min="3" max="3" width="3.28515625" style="119" customWidth="1"/>
    <col min="4" max="4" width="3.42578125" style="119" customWidth="1"/>
    <col min="5" max="5" width="14" style="119" customWidth="1"/>
    <col min="6" max="6" width="8.42578125" customWidth="1"/>
    <col min="11" max="11" width="10.85546875" bestFit="1" customWidth="1"/>
    <col min="15" max="15" width="29.42578125" customWidth="1"/>
    <col min="16" max="16" width="13.140625" customWidth="1"/>
    <col min="17" max="17" width="6.5703125" customWidth="1"/>
  </cols>
  <sheetData>
    <row r="1" spans="1:17" ht="15">
      <c r="A1" s="118" t="s">
        <v>0</v>
      </c>
      <c r="B1" s="118"/>
      <c r="C1" s="118"/>
      <c r="D1" s="118"/>
      <c r="E1" s="118"/>
      <c r="F1" s="118"/>
      <c r="G1" s="111"/>
      <c r="H1" s="111"/>
      <c r="I1" s="111"/>
      <c r="J1" s="111"/>
      <c r="K1" s="111"/>
      <c r="L1" s="111"/>
      <c r="M1" s="111"/>
      <c r="N1" s="111"/>
      <c r="O1" s="111"/>
    </row>
    <row r="2" spans="1:17" s="113" customFormat="1" ht="15">
      <c r="A2" s="115"/>
      <c r="B2" s="115" t="s">
        <v>84</v>
      </c>
      <c r="C2" s="115"/>
      <c r="D2" s="115"/>
      <c r="E2" s="115"/>
      <c r="F2" s="115"/>
      <c r="G2" s="112"/>
      <c r="H2" s="112"/>
      <c r="I2" s="112"/>
      <c r="J2" s="112"/>
      <c r="K2" s="112"/>
      <c r="L2" s="112"/>
      <c r="M2" s="112"/>
      <c r="N2" s="112"/>
      <c r="O2" s="112"/>
    </row>
    <row r="3" spans="1:17" s="113" customFormat="1" ht="15">
      <c r="A3" s="115"/>
      <c r="B3" s="116"/>
      <c r="F3" s="115"/>
      <c r="G3" s="112"/>
      <c r="H3" s="112"/>
      <c r="I3" s="112"/>
      <c r="J3" s="112"/>
      <c r="K3" s="112"/>
      <c r="L3" s="112"/>
      <c r="M3" s="112"/>
      <c r="N3" s="112"/>
      <c r="O3" s="112"/>
      <c r="P3" s="239" t="s">
        <v>508</v>
      </c>
      <c r="Q3" s="239">
        <f t="shared" ref="Q3" si="0">ROUND($F$4*Q4,0)</f>
        <v>0</v>
      </c>
    </row>
    <row r="4" spans="1:17" s="113" customFormat="1" ht="17">
      <c r="A4" s="115"/>
      <c r="B4" s="173" t="s">
        <v>521</v>
      </c>
      <c r="F4" s="115"/>
      <c r="G4" s="112"/>
      <c r="H4" s="112"/>
      <c r="I4" s="112"/>
      <c r="J4" s="112"/>
      <c r="K4" s="112"/>
      <c r="L4" s="112"/>
      <c r="M4" s="112"/>
      <c r="N4" s="112"/>
      <c r="O4" s="112"/>
      <c r="P4" s="240" t="s">
        <v>469</v>
      </c>
      <c r="Q4" s="240">
        <v>4.0999999999999996</v>
      </c>
    </row>
    <row r="5" spans="1:17" s="113" customFormat="1" ht="15">
      <c r="A5" s="115"/>
      <c r="B5" s="115"/>
      <c r="F5" s="115"/>
      <c r="G5" s="112"/>
      <c r="H5" s="112"/>
      <c r="I5" s="112"/>
      <c r="J5" s="112"/>
      <c r="K5" s="112"/>
      <c r="L5" s="112"/>
      <c r="M5" s="112"/>
      <c r="N5" s="112"/>
      <c r="O5" s="112"/>
      <c r="P5" s="240" t="s">
        <v>509</v>
      </c>
      <c r="Q5" s="240">
        <v>13.9</v>
      </c>
    </row>
    <row r="6" spans="1:17" s="113" customFormat="1" ht="17">
      <c r="A6" s="115"/>
      <c r="B6" s="115"/>
      <c r="C6" s="173"/>
      <c r="D6" s="173"/>
      <c r="E6" s="173"/>
      <c r="F6" s="115"/>
      <c r="G6" s="112"/>
      <c r="H6" s="112"/>
      <c r="I6" s="112"/>
      <c r="J6" s="112"/>
      <c r="K6" s="112"/>
      <c r="L6" s="112"/>
      <c r="M6" s="112"/>
      <c r="N6" s="112"/>
      <c r="O6" s="112"/>
      <c r="P6" s="240" t="s">
        <v>510</v>
      </c>
      <c r="Q6" s="240">
        <v>15</v>
      </c>
    </row>
    <row r="7" spans="1:17" s="113" customFormat="1" ht="16">
      <c r="A7" s="115"/>
      <c r="B7" s="174" t="s">
        <v>445</v>
      </c>
      <c r="C7" s="175"/>
      <c r="F7" s="115"/>
      <c r="G7" s="112"/>
      <c r="H7" s="112"/>
      <c r="I7" s="112"/>
      <c r="J7" s="112"/>
      <c r="K7" s="112"/>
      <c r="L7" s="112"/>
      <c r="M7" s="112"/>
      <c r="N7" s="112"/>
      <c r="O7" s="112"/>
      <c r="P7" s="240" t="s">
        <v>511</v>
      </c>
      <c r="Q7" s="240">
        <v>16.8</v>
      </c>
    </row>
    <row r="8" spans="1:17" s="113" customFormat="1" ht="15">
      <c r="A8" s="115"/>
      <c r="B8" s="117" t="s">
        <v>79</v>
      </c>
      <c r="C8" s="113" t="s">
        <v>386</v>
      </c>
      <c r="F8" s="115"/>
      <c r="G8" s="112"/>
      <c r="H8" s="112"/>
      <c r="I8" s="112"/>
      <c r="J8" s="112"/>
      <c r="K8" s="112"/>
      <c r="L8" s="112"/>
      <c r="M8" s="112"/>
      <c r="N8" s="112"/>
      <c r="O8" s="112"/>
      <c r="P8" s="240" t="s">
        <v>512</v>
      </c>
      <c r="Q8" s="240">
        <v>18.100000000000001</v>
      </c>
    </row>
    <row r="9" spans="1:17" s="113" customFormat="1" ht="15">
      <c r="A9" s="115"/>
      <c r="B9" s="117" t="s">
        <v>1</v>
      </c>
      <c r="C9" s="185" t="s">
        <v>449</v>
      </c>
      <c r="F9" s="115"/>
      <c r="G9" s="112"/>
      <c r="H9" s="112"/>
      <c r="I9" s="112"/>
      <c r="J9" s="112"/>
      <c r="K9" s="112"/>
      <c r="L9" s="112"/>
      <c r="M9" s="112"/>
      <c r="N9" s="112"/>
      <c r="O9" s="112"/>
      <c r="P9" s="240" t="s">
        <v>513</v>
      </c>
      <c r="Q9" s="240">
        <v>19.7</v>
      </c>
    </row>
    <row r="10" spans="1:17" s="113" customFormat="1" ht="15">
      <c r="A10" s="115"/>
      <c r="B10" s="117"/>
      <c r="C10" s="116"/>
      <c r="F10" s="115"/>
      <c r="G10" s="112"/>
      <c r="H10" s="112"/>
      <c r="I10" s="112"/>
      <c r="J10" s="112"/>
      <c r="K10" s="112"/>
      <c r="L10" s="112"/>
      <c r="M10" s="112"/>
      <c r="N10" s="112"/>
      <c r="O10" s="112"/>
      <c r="P10" s="240" t="s">
        <v>514</v>
      </c>
      <c r="Q10" s="240">
        <v>21.2</v>
      </c>
    </row>
    <row r="11" spans="1:17" s="113" customFormat="1" ht="15">
      <c r="A11" s="115"/>
      <c r="B11" s="115" t="s">
        <v>446</v>
      </c>
      <c r="C11" s="115"/>
      <c r="F11" s="115"/>
      <c r="G11" s="112"/>
      <c r="H11" s="112"/>
      <c r="I11" s="112"/>
      <c r="J11" s="112"/>
      <c r="K11" s="112"/>
      <c r="L11" s="112"/>
      <c r="M11" s="112"/>
      <c r="N11" s="112"/>
      <c r="O11" s="112"/>
      <c r="P11" s="240" t="s">
        <v>515</v>
      </c>
      <c r="Q11" s="240">
        <v>22.3</v>
      </c>
    </row>
    <row r="12" spans="1:17" s="113" customFormat="1" ht="15">
      <c r="A12" s="115"/>
      <c r="B12" s="115">
        <v>1</v>
      </c>
      <c r="C12" s="115" t="s">
        <v>141</v>
      </c>
      <c r="F12" s="115"/>
      <c r="G12" s="112"/>
      <c r="H12" s="112"/>
      <c r="I12" s="112"/>
      <c r="J12" s="112"/>
      <c r="K12" s="112"/>
      <c r="L12" s="112"/>
      <c r="M12" s="112"/>
      <c r="N12" s="112"/>
      <c r="O12" s="112"/>
      <c r="P12" s="240" t="s">
        <v>516</v>
      </c>
      <c r="Q12" s="240">
        <v>31.8</v>
      </c>
    </row>
    <row r="13" spans="1:17" s="113" customFormat="1" ht="16" customHeight="1">
      <c r="A13" s="115"/>
      <c r="B13" s="115">
        <v>2</v>
      </c>
      <c r="C13" s="185" t="s">
        <v>450</v>
      </c>
      <c r="F13" s="115"/>
      <c r="G13" s="112"/>
      <c r="H13" s="112"/>
      <c r="I13" s="112"/>
      <c r="J13" s="112"/>
      <c r="K13" s="112"/>
      <c r="L13" s="112"/>
      <c r="M13" s="112"/>
      <c r="N13" s="112"/>
      <c r="O13" s="112"/>
      <c r="P13" s="240" t="s">
        <v>517</v>
      </c>
      <c r="Q13" s="240">
        <v>44.7</v>
      </c>
    </row>
    <row r="14" spans="1:17" s="113" customFormat="1" ht="15">
      <c r="A14" s="115"/>
      <c r="B14" s="115">
        <v>3</v>
      </c>
      <c r="C14" s="186" t="s">
        <v>451</v>
      </c>
      <c r="F14" s="115"/>
      <c r="G14" s="112"/>
      <c r="H14" s="112"/>
      <c r="I14" s="112"/>
      <c r="J14" s="112"/>
      <c r="K14" s="112"/>
      <c r="L14" s="112"/>
      <c r="M14" s="112"/>
      <c r="N14" s="112"/>
      <c r="O14" s="112"/>
      <c r="P14" s="240" t="s">
        <v>518</v>
      </c>
      <c r="Q14" s="240">
        <v>62</v>
      </c>
    </row>
    <row r="15" spans="1:17" s="113" customFormat="1" ht="15">
      <c r="A15" s="115"/>
      <c r="B15" s="115">
        <v>4</v>
      </c>
      <c r="C15" s="186" t="s">
        <v>452</v>
      </c>
      <c r="F15" s="115"/>
      <c r="G15" s="112"/>
      <c r="H15" s="112"/>
      <c r="I15" s="112"/>
      <c r="J15" s="112"/>
      <c r="K15" s="112"/>
      <c r="L15" s="112"/>
      <c r="M15" s="112"/>
      <c r="N15" s="112"/>
      <c r="O15" s="112"/>
      <c r="P15" s="240" t="s">
        <v>473</v>
      </c>
      <c r="Q15" s="240">
        <v>136.4</v>
      </c>
    </row>
    <row r="16" spans="1:17" s="113" customFormat="1" ht="15">
      <c r="A16" s="115"/>
      <c r="B16" s="187">
        <v>5</v>
      </c>
      <c r="C16" s="187" t="s">
        <v>453</v>
      </c>
      <c r="F16" s="115"/>
      <c r="G16" s="112"/>
      <c r="H16" s="112"/>
      <c r="I16" s="112"/>
      <c r="J16" s="112"/>
      <c r="K16" s="112"/>
      <c r="L16" s="112"/>
      <c r="M16" s="112"/>
      <c r="N16" s="112"/>
      <c r="O16" s="112"/>
      <c r="P16" s="114"/>
    </row>
    <row r="17" spans="1:18" s="113" customFormat="1" ht="15">
      <c r="A17" s="115"/>
      <c r="B17" s="187">
        <v>6</v>
      </c>
      <c r="C17" s="188" t="s">
        <v>454</v>
      </c>
      <c r="F17" s="115"/>
      <c r="G17" s="112"/>
      <c r="H17" s="112"/>
      <c r="I17" s="112"/>
      <c r="J17" s="112"/>
      <c r="K17" s="112"/>
      <c r="L17" s="112"/>
      <c r="M17" s="112"/>
      <c r="N17" s="112"/>
      <c r="O17" s="112"/>
      <c r="P17" s="114"/>
    </row>
    <row r="18" spans="1:18" s="113" customFormat="1" ht="15">
      <c r="A18" s="115"/>
      <c r="B18" s="115">
        <v>7</v>
      </c>
      <c r="C18" t="s">
        <v>474</v>
      </c>
      <c r="F18" s="115"/>
      <c r="G18" s="112"/>
      <c r="H18" s="112"/>
      <c r="I18" s="112"/>
      <c r="J18" s="112"/>
      <c r="K18" s="112"/>
      <c r="L18" s="112"/>
      <c r="M18" s="112"/>
      <c r="N18" s="112"/>
      <c r="O18" s="112"/>
      <c r="P18" s="114"/>
    </row>
    <row r="19" spans="1:18" s="113" customFormat="1" ht="15">
      <c r="A19" s="115"/>
      <c r="B19" s="115"/>
      <c r="C19" s="115"/>
      <c r="D19" s="115"/>
      <c r="E19" s="115"/>
      <c r="F19" s="115"/>
      <c r="G19" s="112"/>
      <c r="H19" s="112"/>
      <c r="I19" s="112"/>
      <c r="J19" s="112"/>
      <c r="K19" s="112"/>
      <c r="L19" s="112"/>
      <c r="M19" s="112"/>
      <c r="N19" s="112"/>
      <c r="O19" s="112"/>
      <c r="P19" s="114"/>
    </row>
    <row r="20" spans="1:18" s="113" customFormat="1" ht="15">
      <c r="A20" s="115"/>
      <c r="B20" s="115"/>
      <c r="C20" s="115"/>
      <c r="D20" s="115"/>
      <c r="E20" s="115"/>
      <c r="F20" s="115"/>
      <c r="G20" s="112"/>
      <c r="H20" s="112"/>
      <c r="I20" s="112"/>
      <c r="J20" s="112"/>
      <c r="K20" s="112"/>
      <c r="L20" s="112"/>
      <c r="M20" s="112"/>
      <c r="N20" s="112"/>
      <c r="P20"/>
      <c r="Q20"/>
      <c r="R20"/>
    </row>
    <row r="21" spans="1:18" s="113" customFormat="1" ht="15">
      <c r="A21" s="115"/>
      <c r="B21" s="115"/>
      <c r="C21" s="115"/>
      <c r="D21"/>
      <c r="E21" t="s">
        <v>487</v>
      </c>
      <c r="F21" s="199">
        <v>1</v>
      </c>
      <c r="G21" s="112"/>
      <c r="H21" s="112"/>
      <c r="I21" s="112"/>
      <c r="N21" s="112"/>
      <c r="O21"/>
      <c r="P21"/>
      <c r="Q21"/>
      <c r="R21" t="s">
        <v>519</v>
      </c>
    </row>
    <row r="22" spans="1:18" s="113" customFormat="1" ht="15">
      <c r="A22" s="115"/>
      <c r="B22" s="115"/>
      <c r="C22" s="115"/>
      <c r="D22"/>
      <c r="E22" t="s">
        <v>522</v>
      </c>
      <c r="F22" s="110" t="s">
        <v>523</v>
      </c>
      <c r="G22" s="245">
        <v>0.06</v>
      </c>
      <c r="H22" t="s">
        <v>524</v>
      </c>
      <c r="I22" s="245">
        <v>0.08</v>
      </c>
      <c r="M22"/>
      <c r="N22" s="232"/>
      <c r="O22"/>
      <c r="P22"/>
      <c r="Q22"/>
      <c r="R22" s="244">
        <v>19.64</v>
      </c>
    </row>
    <row r="23" spans="1:18" s="113" customFormat="1" ht="15">
      <c r="A23" s="115"/>
      <c r="B23" s="115"/>
      <c r="C23" s="115"/>
      <c r="D23" t="s">
        <v>493</v>
      </c>
      <c r="E23"/>
      <c r="F23" s="218">
        <v>6</v>
      </c>
      <c r="G23" s="112"/>
      <c r="H23"/>
      <c r="I23" s="112"/>
      <c r="L23"/>
      <c r="M23"/>
      <c r="N23" s="232"/>
      <c r="O23" s="232"/>
      <c r="P23" s="239" t="s">
        <v>508</v>
      </c>
      <c r="Q23" s="239">
        <f>ROUND($F$4*Q24,0)</f>
        <v>0</v>
      </c>
      <c r="R23">
        <v>6.3031831074692717E-3</v>
      </c>
    </row>
    <row r="24" spans="1:18" s="113" customFormat="1" ht="15">
      <c r="A24" s="115"/>
      <c r="B24" s="115"/>
      <c r="C24"/>
      <c r="D24" t="s">
        <v>492</v>
      </c>
      <c r="E24"/>
      <c r="F24" s="219">
        <v>0.4</v>
      </c>
      <c r="G24" s="112"/>
      <c r="H24"/>
      <c r="I24" s="112"/>
      <c r="L24"/>
      <c r="M24" t="s">
        <v>464</v>
      </c>
      <c r="N24" s="232"/>
      <c r="O24" s="232"/>
      <c r="P24" s="240" t="s">
        <v>469</v>
      </c>
      <c r="Q24" s="240">
        <v>8</v>
      </c>
      <c r="R24">
        <v>2.5</v>
      </c>
    </row>
    <row r="25" spans="1:18" s="113" customFormat="1" ht="15">
      <c r="A25" s="115"/>
      <c r="B25" s="115"/>
      <c r="C25"/>
      <c r="D25" t="s">
        <v>498</v>
      </c>
      <c r="E25"/>
      <c r="F25" s="199">
        <v>27391</v>
      </c>
      <c r="G25" s="112"/>
      <c r="H25"/>
      <c r="I25" s="112"/>
      <c r="L25" t="s">
        <v>465</v>
      </c>
      <c r="M25">
        <v>0.94</v>
      </c>
      <c r="N25" s="234"/>
      <c r="O25" s="234"/>
      <c r="P25" s="240" t="s">
        <v>509</v>
      </c>
      <c r="Q25" s="240">
        <v>27</v>
      </c>
      <c r="R25">
        <v>0.7407407407407407</v>
      </c>
    </row>
    <row r="26" spans="1:18" s="113" customFormat="1" ht="15">
      <c r="A26" s="115"/>
      <c r="B26" s="115"/>
      <c r="C26"/>
      <c r="D26"/>
      <c r="E26"/>
      <c r="F26" s="115"/>
      <c r="G26" s="112"/>
      <c r="H26"/>
      <c r="I26" s="112"/>
      <c r="L26" t="s">
        <v>466</v>
      </c>
      <c r="M26">
        <v>0.52</v>
      </c>
      <c r="N26" s="112"/>
      <c r="O26" s="112"/>
      <c r="P26" s="240" t="s">
        <v>510</v>
      </c>
      <c r="Q26" s="240">
        <v>29</v>
      </c>
      <c r="R26">
        <v>0.68965517241379315</v>
      </c>
    </row>
    <row r="27" spans="1:18" s="113" customFormat="1" ht="15">
      <c r="A27" s="115"/>
      <c r="B27" s="115"/>
      <c r="C27"/>
      <c r="D27" t="s">
        <v>266</v>
      </c>
      <c r="E27"/>
      <c r="F27" s="186" t="s">
        <v>132</v>
      </c>
      <c r="G27" s="112" t="s">
        <v>457</v>
      </c>
      <c r="H27"/>
      <c r="I27" s="112"/>
      <c r="L27" t="s">
        <v>467</v>
      </c>
      <c r="M27">
        <v>0.34</v>
      </c>
      <c r="N27" s="112"/>
      <c r="O27" s="112"/>
      <c r="P27" s="240" t="s">
        <v>511</v>
      </c>
      <c r="Q27" s="240">
        <v>32.6</v>
      </c>
      <c r="R27">
        <v>0.61349693251533743</v>
      </c>
    </row>
    <row r="28" spans="1:18" s="113" customFormat="1" ht="15">
      <c r="A28" s="115"/>
      <c r="B28" s="115"/>
      <c r="C28"/>
      <c r="D28"/>
      <c r="E28" t="s">
        <v>111</v>
      </c>
      <c r="F28" s="226">
        <v>24</v>
      </c>
      <c r="G28" s="229">
        <f>F28/1.6</f>
        <v>15</v>
      </c>
      <c r="H28"/>
      <c r="I28" s="112"/>
      <c r="L28" t="s">
        <v>468</v>
      </c>
      <c r="M28">
        <v>0.76</v>
      </c>
      <c r="N28" s="112"/>
      <c r="O28" s="112"/>
      <c r="P28" s="240" t="s">
        <v>512</v>
      </c>
      <c r="Q28" s="240">
        <v>35.1</v>
      </c>
      <c r="R28">
        <v>0.56980056980056981</v>
      </c>
    </row>
    <row r="29" spans="1:18" s="113" customFormat="1" ht="15">
      <c r="A29" s="115"/>
      <c r="B29" s="115"/>
      <c r="C29" s="116"/>
      <c r="D29" s="116"/>
      <c r="E29" t="s">
        <v>110</v>
      </c>
      <c r="F29" s="227">
        <v>0</v>
      </c>
      <c r="G29" s="229">
        <f t="shared" ref="G29:G32" si="1">F29/1.6</f>
        <v>0</v>
      </c>
      <c r="H29" s="112"/>
      <c r="I29" s="112"/>
      <c r="L29" t="s">
        <v>469</v>
      </c>
      <c r="M29">
        <v>2.76</v>
      </c>
      <c r="N29" s="112"/>
      <c r="O29" s="112"/>
      <c r="P29" s="240" t="s">
        <v>513</v>
      </c>
      <c r="Q29" s="240">
        <v>38.200000000000003</v>
      </c>
      <c r="R29">
        <v>0.52356020942408377</v>
      </c>
    </row>
    <row r="30" spans="1:18" s="113" customFormat="1" ht="15">
      <c r="A30" s="115"/>
      <c r="B30" s="115"/>
      <c r="E30" t="s">
        <v>112</v>
      </c>
      <c r="F30" s="226">
        <v>0</v>
      </c>
      <c r="G30" s="229">
        <f t="shared" si="1"/>
        <v>0</v>
      </c>
      <c r="H30" s="112"/>
      <c r="I30" s="112"/>
      <c r="L30" t="s">
        <v>470</v>
      </c>
      <c r="M30">
        <v>1.45</v>
      </c>
      <c r="N30" s="112"/>
      <c r="O30" s="112"/>
      <c r="P30" s="240" t="s">
        <v>514</v>
      </c>
      <c r="Q30" s="240">
        <v>41.1</v>
      </c>
      <c r="R30">
        <v>0.48661800486618001</v>
      </c>
    </row>
    <row r="31" spans="1:18" s="113" customFormat="1" ht="15">
      <c r="A31" s="115"/>
      <c r="B31" s="115"/>
      <c r="E31" t="s">
        <v>113</v>
      </c>
      <c r="F31" s="230">
        <v>0</v>
      </c>
      <c r="G31" s="229">
        <f t="shared" si="1"/>
        <v>0</v>
      </c>
      <c r="H31" s="112"/>
      <c r="I31" s="112"/>
      <c r="J31" s="112"/>
      <c r="K31" s="112"/>
      <c r="L31" t="s">
        <v>471</v>
      </c>
      <c r="M31">
        <v>2.34</v>
      </c>
      <c r="N31" s="112"/>
      <c r="O31" s="112"/>
      <c r="P31" s="240" t="s">
        <v>515</v>
      </c>
      <c r="Q31" s="240">
        <v>43.2</v>
      </c>
      <c r="R31">
        <v>0.46296296296296291</v>
      </c>
    </row>
    <row r="32" spans="1:18" s="113" customFormat="1" ht="15">
      <c r="A32" s="115"/>
      <c r="B32" s="115"/>
      <c r="E32" t="s">
        <v>114</v>
      </c>
      <c r="F32" s="226">
        <v>0</v>
      </c>
      <c r="G32" s="229">
        <f t="shared" si="1"/>
        <v>0</v>
      </c>
      <c r="H32" s="112"/>
      <c r="I32" s="112"/>
      <c r="J32" s="112"/>
      <c r="K32" s="112"/>
      <c r="L32" t="s">
        <v>472</v>
      </c>
      <c r="M32">
        <f>ROUND(0.59/1.57,2)</f>
        <v>0.38</v>
      </c>
      <c r="N32" s="112"/>
      <c r="O32" s="112"/>
      <c r="P32" s="240" t="s">
        <v>516</v>
      </c>
      <c r="Q32" s="240">
        <v>61.7</v>
      </c>
      <c r="R32">
        <v>0.32414910858995138</v>
      </c>
    </row>
    <row r="33" spans="1:18" s="113" customFormat="1" ht="15">
      <c r="A33" s="115"/>
      <c r="B33" s="115"/>
      <c r="F33" s="115"/>
      <c r="G33" s="112"/>
      <c r="H33" s="112"/>
      <c r="I33" s="112"/>
      <c r="J33" s="112"/>
      <c r="K33" s="112"/>
      <c r="L33" t="s">
        <v>473</v>
      </c>
      <c r="M33">
        <v>0.03</v>
      </c>
      <c r="N33" s="112"/>
      <c r="O33" s="112"/>
      <c r="P33" s="240" t="s">
        <v>517</v>
      </c>
      <c r="Q33" s="240">
        <v>86.6</v>
      </c>
      <c r="R33">
        <v>0.23094688221709009</v>
      </c>
    </row>
    <row r="34" spans="1:18" s="113" customFormat="1" ht="15">
      <c r="A34" s="115"/>
      <c r="B34" s="115"/>
      <c r="F34" s="115"/>
      <c r="G34" s="112"/>
      <c r="H34" s="112"/>
      <c r="I34" s="112"/>
      <c r="J34" s="112"/>
      <c r="K34" s="112"/>
      <c r="L34" s="112"/>
      <c r="M34" s="112"/>
      <c r="N34" s="112"/>
      <c r="O34" s="112"/>
      <c r="P34" s="240" t="s">
        <v>518</v>
      </c>
      <c r="Q34" s="240">
        <v>120</v>
      </c>
      <c r="R34">
        <v>0.16666666666666666</v>
      </c>
    </row>
    <row r="35" spans="1:18" s="113" customFormat="1" ht="15">
      <c r="A35" s="115"/>
      <c r="B35" s="115"/>
      <c r="F35" s="115"/>
      <c r="G35" s="112"/>
      <c r="H35" s="112"/>
      <c r="I35" s="112"/>
      <c r="J35" s="112"/>
      <c r="K35" s="112"/>
      <c r="L35" s="112"/>
      <c r="M35" s="112"/>
      <c r="N35" s="112"/>
      <c r="O35" s="112"/>
      <c r="P35" s="240" t="s">
        <v>473</v>
      </c>
      <c r="Q35" s="240">
        <v>264.39999999999998</v>
      </c>
      <c r="R35">
        <v>0</v>
      </c>
    </row>
    <row r="36" spans="1:18" s="113" customFormat="1" ht="15">
      <c r="A36" s="115"/>
      <c r="B36" s="115"/>
      <c r="G36" s="112"/>
      <c r="H36" s="112"/>
      <c r="I36" s="112"/>
      <c r="J36" s="112"/>
      <c r="K36" s="112"/>
      <c r="L36" s="112"/>
      <c r="M36" s="112"/>
      <c r="N36" s="112"/>
      <c r="O36" s="112"/>
      <c r="P36" s="114"/>
    </row>
    <row r="37" spans="1:18" s="113" customFormat="1" ht="15">
      <c r="A37" s="115"/>
      <c r="B37" s="115"/>
      <c r="G37" s="112"/>
      <c r="H37" s="112"/>
      <c r="I37" s="112"/>
      <c r="J37" s="112"/>
      <c r="K37" s="112"/>
      <c r="L37" s="112"/>
      <c r="M37" s="112"/>
      <c r="N37" s="112"/>
      <c r="O37" s="112"/>
      <c r="P37" s="114"/>
    </row>
    <row r="38" spans="1:18" s="113" customFormat="1" ht="15">
      <c r="A38" s="115"/>
      <c r="B38" s="115"/>
      <c r="G38" s="112"/>
      <c r="H38" s="112"/>
      <c r="I38" s="112"/>
      <c r="J38" s="112"/>
      <c r="K38" s="112"/>
      <c r="L38" s="112"/>
      <c r="M38" s="112"/>
      <c r="N38" s="112"/>
      <c r="O38" s="112"/>
      <c r="P38" s="114"/>
    </row>
    <row r="39" spans="1:18" s="113" customFormat="1" ht="15">
      <c r="A39" s="115"/>
      <c r="B39" s="115"/>
      <c r="G39" s="112"/>
      <c r="H39" s="112"/>
      <c r="I39" s="112"/>
      <c r="J39" s="112"/>
      <c r="K39" s="112"/>
      <c r="L39" s="112"/>
      <c r="M39" s="112"/>
      <c r="N39" s="112"/>
      <c r="O39" s="112"/>
      <c r="P39" s="114"/>
    </row>
    <row r="40" spans="1:18" s="113" customFormat="1" ht="15">
      <c r="A40" s="115"/>
      <c r="B40" s="115"/>
      <c r="G40" s="112"/>
      <c r="H40" s="112"/>
      <c r="I40" s="112"/>
      <c r="J40" s="112"/>
      <c r="K40" s="112"/>
      <c r="L40" s="112"/>
      <c r="M40" s="112"/>
      <c r="N40" s="112"/>
      <c r="O40" s="112"/>
      <c r="P40" s="114"/>
    </row>
    <row r="41" spans="1:18" s="113" customFormat="1" ht="15">
      <c r="A41" s="115"/>
      <c r="B41" s="115"/>
      <c r="G41" s="112"/>
      <c r="H41" s="112"/>
      <c r="I41" s="112"/>
      <c r="J41" s="112"/>
      <c r="K41" s="112"/>
      <c r="L41" s="112"/>
      <c r="M41" s="112"/>
      <c r="N41" s="112"/>
      <c r="O41" s="112"/>
      <c r="P41" s="114"/>
    </row>
    <row r="42" spans="1:18" s="113" customFormat="1" ht="15">
      <c r="A42" s="115"/>
      <c r="B42" s="115"/>
      <c r="G42" s="112"/>
      <c r="H42" s="112"/>
      <c r="I42" s="112"/>
      <c r="J42" s="112"/>
      <c r="K42" s="112"/>
      <c r="L42" s="112"/>
      <c r="M42" s="112"/>
      <c r="N42" s="112"/>
      <c r="O42" s="112"/>
      <c r="P42" s="114"/>
    </row>
    <row r="43" spans="1:18" s="113" customFormat="1" ht="15">
      <c r="A43" s="115"/>
      <c r="B43" s="115"/>
      <c r="G43" s="112"/>
      <c r="H43" s="112"/>
      <c r="I43" s="112"/>
      <c r="J43" s="112"/>
      <c r="K43" s="112"/>
      <c r="L43" s="112"/>
      <c r="M43" s="112"/>
      <c r="N43" s="112"/>
      <c r="O43" s="112"/>
      <c r="P43" s="114"/>
    </row>
    <row r="44" spans="1:18" s="113" customFormat="1" ht="15">
      <c r="A44" s="115"/>
      <c r="B44" s="115"/>
      <c r="G44" s="112"/>
      <c r="H44" s="112"/>
      <c r="I44" s="112"/>
      <c r="J44" s="112"/>
      <c r="K44" s="112"/>
      <c r="L44" s="112"/>
      <c r="M44" s="112"/>
      <c r="N44" s="112"/>
      <c r="O44" s="112"/>
      <c r="P44" s="114"/>
    </row>
    <row r="45" spans="1:18" s="113" customFormat="1" ht="15">
      <c r="A45" s="115"/>
      <c r="B45" s="115"/>
      <c r="G45" s="112"/>
      <c r="H45" s="112"/>
      <c r="I45" s="112"/>
      <c r="J45" s="112"/>
      <c r="K45" s="112"/>
      <c r="L45" s="112"/>
      <c r="M45" s="112"/>
      <c r="N45" s="112"/>
      <c r="O45" s="112"/>
      <c r="P45" s="114"/>
    </row>
    <row r="46" spans="1:18" s="113" customFormat="1" ht="15">
      <c r="A46" s="115"/>
      <c r="B46" s="115"/>
      <c r="C46" s="116"/>
      <c r="D46" s="116"/>
      <c r="G46" s="112"/>
      <c r="H46" s="112"/>
      <c r="I46" s="112"/>
      <c r="J46" s="112"/>
      <c r="K46" s="112"/>
      <c r="L46" s="112"/>
      <c r="M46" s="112"/>
      <c r="N46" s="112"/>
      <c r="O46" s="112"/>
      <c r="P46" s="114"/>
    </row>
    <row r="47" spans="1:18" s="113" customFormat="1" ht="15">
      <c r="A47" s="115"/>
      <c r="B47" s="115"/>
      <c r="C47" s="116"/>
      <c r="D47" s="116"/>
      <c r="G47" s="112"/>
      <c r="H47" s="112"/>
      <c r="I47" s="112"/>
      <c r="J47" s="112"/>
      <c r="K47" s="112"/>
      <c r="L47" s="112"/>
      <c r="M47" s="112"/>
      <c r="N47" s="112"/>
      <c r="O47" s="112"/>
      <c r="P47" s="114"/>
    </row>
    <row r="48" spans="1:18" s="113" customFormat="1" ht="15">
      <c r="A48" s="115"/>
      <c r="B48" s="115"/>
      <c r="C48" s="116"/>
      <c r="D48" s="116"/>
      <c r="E48" s="115"/>
      <c r="F48" s="119"/>
      <c r="G48" s="112"/>
      <c r="H48" s="112"/>
      <c r="I48" s="112"/>
      <c r="J48" s="112"/>
      <c r="K48" s="112"/>
      <c r="L48" s="112"/>
      <c r="M48" s="112"/>
      <c r="N48" s="112"/>
      <c r="O48" s="112"/>
      <c r="P48" s="114"/>
    </row>
    <row r="49" spans="1:16" s="113" customFormat="1" ht="15">
      <c r="A49" s="115"/>
      <c r="B49" s="115"/>
      <c r="C49" s="115"/>
      <c r="D49" s="115"/>
      <c r="E49" s="115"/>
      <c r="F49" s="119"/>
      <c r="G49" s="112"/>
      <c r="H49" s="112"/>
      <c r="I49" s="112"/>
      <c r="J49" s="112"/>
      <c r="K49" s="112"/>
      <c r="L49" s="112"/>
      <c r="M49" s="112"/>
      <c r="N49" s="112"/>
      <c r="O49" s="112"/>
      <c r="P49" s="114"/>
    </row>
    <row r="50" spans="1:16" s="113" customFormat="1" ht="15">
      <c r="A50" s="115"/>
      <c r="B50" s="115"/>
      <c r="C50" s="115"/>
      <c r="D50" s="115"/>
      <c r="E50" s="115"/>
      <c r="F50" s="119"/>
      <c r="G50" s="112"/>
      <c r="H50" s="112"/>
      <c r="I50" s="112"/>
      <c r="J50" s="112"/>
      <c r="K50" s="112"/>
      <c r="L50" s="112"/>
      <c r="M50" s="112"/>
      <c r="N50" s="112"/>
      <c r="O50" s="112"/>
      <c r="P50" s="114"/>
    </row>
    <row r="51" spans="1:16" s="113" customFormat="1" ht="15">
      <c r="A51" s="115"/>
      <c r="B51" s="115"/>
      <c r="C51" s="115"/>
      <c r="D51" s="115"/>
      <c r="E51" s="112"/>
      <c r="F51" s="112" t="s">
        <v>504</v>
      </c>
      <c r="G51" s="112"/>
      <c r="H51" s="112"/>
      <c r="I51" s="112"/>
      <c r="J51" s="112"/>
      <c r="K51" s="112"/>
      <c r="L51" s="112"/>
      <c r="M51" s="112"/>
      <c r="N51" s="112"/>
      <c r="O51" s="112"/>
      <c r="P51" s="114"/>
    </row>
    <row r="52" spans="1:16" s="113" customFormat="1" ht="15">
      <c r="A52" s="115"/>
      <c r="B52" s="115"/>
      <c r="C52" s="115"/>
      <c r="D52" s="115"/>
      <c r="E52" s="112" t="s">
        <v>500</v>
      </c>
      <c r="F52" s="232">
        <v>272684</v>
      </c>
      <c r="G52" s="233">
        <v>0.25</v>
      </c>
      <c r="H52" s="112"/>
      <c r="I52" s="112"/>
      <c r="J52" s="112"/>
      <c r="K52" s="112"/>
      <c r="L52" s="112"/>
      <c r="M52" s="112"/>
      <c r="N52" s="112"/>
      <c r="O52" s="112"/>
      <c r="P52" s="114"/>
    </row>
    <row r="53" spans="1:16" s="113" customFormat="1" ht="15">
      <c r="A53" s="115"/>
      <c r="B53" s="115"/>
      <c r="C53" s="115"/>
      <c r="D53" s="115"/>
      <c r="E53" s="112" t="s">
        <v>501</v>
      </c>
      <c r="F53" s="232">
        <v>203406</v>
      </c>
      <c r="G53" s="233">
        <v>0.25</v>
      </c>
      <c r="H53" s="112"/>
      <c r="I53" s="112"/>
      <c r="J53" s="112"/>
      <c r="K53" s="112"/>
      <c r="L53" s="112"/>
      <c r="M53" s="112"/>
      <c r="N53" s="112"/>
      <c r="O53" s="112"/>
      <c r="P53" s="114"/>
    </row>
    <row r="54" spans="1:16" ht="15">
      <c r="A54" s="111"/>
      <c r="B54" s="118"/>
      <c r="C54" s="115"/>
      <c r="D54" s="115"/>
      <c r="E54" s="112" t="s">
        <v>502</v>
      </c>
      <c r="F54" s="232">
        <v>63225</v>
      </c>
      <c r="G54" s="233">
        <v>0.25</v>
      </c>
      <c r="H54" s="112"/>
      <c r="I54" s="111"/>
      <c r="J54" s="111"/>
      <c r="K54" s="111"/>
      <c r="L54" s="111"/>
      <c r="M54" s="111"/>
      <c r="N54" s="111"/>
      <c r="O54" s="111"/>
      <c r="P54" s="110"/>
    </row>
    <row r="55" spans="1:16" ht="15">
      <c r="A55" s="111"/>
      <c r="B55" s="118"/>
      <c r="C55" s="118"/>
      <c r="D55" s="118"/>
      <c r="E55" s="112" t="s">
        <v>503</v>
      </c>
      <c r="F55" s="232">
        <v>227645</v>
      </c>
      <c r="G55" s="233">
        <v>0.25</v>
      </c>
      <c r="H55" s="114"/>
      <c r="I55" s="111"/>
      <c r="J55" s="111"/>
      <c r="K55" s="111"/>
      <c r="L55" s="111"/>
      <c r="M55" s="111"/>
      <c r="N55" s="111"/>
      <c r="O55" s="111"/>
      <c r="P55" s="110"/>
    </row>
    <row r="56" spans="1:16" ht="15">
      <c r="A56" s="111"/>
      <c r="B56" s="118"/>
      <c r="C56" s="118"/>
      <c r="D56" s="118"/>
      <c r="E56" s="112"/>
      <c r="F56" s="112"/>
      <c r="G56" s="112"/>
      <c r="H56" s="112"/>
      <c r="I56" s="111"/>
      <c r="J56" s="111"/>
      <c r="K56" s="111"/>
      <c r="L56" s="111"/>
      <c r="M56" s="111"/>
      <c r="N56" s="111"/>
      <c r="O56" s="111"/>
      <c r="P56" s="110"/>
    </row>
    <row r="57" spans="1:16" ht="15">
      <c r="A57" s="111"/>
      <c r="B57" s="118"/>
      <c r="C57" s="118"/>
      <c r="D57" s="118"/>
      <c r="E57" s="112"/>
      <c r="F57" s="232">
        <f>SUM(F52:F55)</f>
        <v>766960</v>
      </c>
      <c r="G57" s="112"/>
      <c r="H57" s="112"/>
      <c r="I57" s="111"/>
      <c r="J57" s="111"/>
      <c r="K57" s="111"/>
      <c r="L57" s="111"/>
      <c r="M57" s="111"/>
      <c r="N57" s="111"/>
      <c r="O57" s="111"/>
      <c r="P57" s="110"/>
    </row>
    <row r="58" spans="1:16" ht="15">
      <c r="A58" s="111"/>
      <c r="B58" s="118"/>
      <c r="C58" s="118"/>
      <c r="D58" s="118"/>
      <c r="E58" s="112"/>
      <c r="F58" s="232">
        <f>ROUND(F57/7,0)</f>
        <v>109566</v>
      </c>
      <c r="G58" s="233">
        <v>0.25</v>
      </c>
      <c r="H58" s="232">
        <f>G58*F58</f>
        <v>27391.5</v>
      </c>
      <c r="I58" s="111"/>
      <c r="J58" s="111"/>
      <c r="K58" s="111"/>
      <c r="L58" s="111"/>
      <c r="M58" s="111"/>
      <c r="N58" s="111"/>
      <c r="O58" s="111"/>
      <c r="P58" s="110"/>
    </row>
    <row r="59" spans="1:16" ht="15">
      <c r="A59" s="111"/>
      <c r="B59" s="118"/>
      <c r="C59" s="118"/>
      <c r="D59" s="118"/>
      <c r="E59" s="112"/>
      <c r="F59" s="112" t="s">
        <v>505</v>
      </c>
      <c r="G59" s="112"/>
      <c r="H59" s="112" t="s">
        <v>473</v>
      </c>
      <c r="I59" s="111"/>
      <c r="J59" s="111"/>
      <c r="K59" s="111"/>
      <c r="L59" s="111"/>
      <c r="M59" s="111"/>
      <c r="N59" s="111"/>
      <c r="O59" s="111"/>
      <c r="P59" s="110"/>
    </row>
    <row r="60" spans="1:16" ht="15">
      <c r="A60" s="111"/>
      <c r="B60" s="118"/>
      <c r="C60" s="118"/>
      <c r="D60" s="118"/>
      <c r="E60" s="112"/>
      <c r="F60" s="112"/>
      <c r="G60" s="112"/>
      <c r="H60" s="112"/>
      <c r="I60" s="111"/>
      <c r="J60" s="111"/>
      <c r="K60" s="111"/>
      <c r="L60" s="111"/>
      <c r="M60" s="111"/>
      <c r="N60" s="111"/>
      <c r="O60" s="111"/>
      <c r="P60" s="110"/>
    </row>
    <row r="61" spans="1:16" ht="15">
      <c r="A61" s="111"/>
      <c r="B61" s="118"/>
      <c r="C61" s="118"/>
      <c r="D61" s="118"/>
      <c r="E61" s="118"/>
      <c r="F61" s="3"/>
      <c r="G61" s="111"/>
      <c r="H61" s="111"/>
      <c r="I61" s="111"/>
      <c r="J61" s="111"/>
      <c r="K61" s="111"/>
      <c r="L61" s="111"/>
      <c r="M61" s="111"/>
      <c r="N61" s="111"/>
      <c r="O61" s="111"/>
      <c r="P61" s="110"/>
    </row>
    <row r="62" spans="1:16" ht="15">
      <c r="A62" s="111"/>
      <c r="B62" s="118"/>
      <c r="C62" s="118"/>
      <c r="D62" s="118"/>
      <c r="E62" s="118"/>
      <c r="F62" s="111"/>
      <c r="G62" s="111"/>
      <c r="H62" s="111"/>
      <c r="I62" s="111"/>
      <c r="J62" s="111"/>
      <c r="K62" s="111"/>
      <c r="L62" s="111"/>
      <c r="M62" s="111"/>
      <c r="N62" s="111"/>
      <c r="O62" s="111"/>
      <c r="P62" s="110"/>
    </row>
    <row r="63" spans="1:16" ht="15">
      <c r="A63" s="111"/>
      <c r="B63" s="118"/>
      <c r="C63" s="118"/>
      <c r="D63" s="118"/>
      <c r="E63" s="118"/>
      <c r="F63" s="111"/>
      <c r="G63" s="111"/>
      <c r="H63" s="111"/>
      <c r="I63" s="111"/>
      <c r="J63" s="111"/>
      <c r="K63" s="111"/>
      <c r="L63" s="111"/>
      <c r="M63" s="111"/>
      <c r="N63" s="111"/>
      <c r="O63" s="111"/>
      <c r="P63" s="110"/>
    </row>
    <row r="64" spans="1:16" ht="15">
      <c r="A64" s="111"/>
      <c r="B64" s="118"/>
      <c r="C64" s="118"/>
      <c r="D64" s="118"/>
      <c r="E64" s="118"/>
      <c r="F64" s="111"/>
      <c r="G64" s="111"/>
      <c r="H64" s="111"/>
      <c r="I64" s="111"/>
      <c r="J64" s="111"/>
      <c r="K64" s="111"/>
      <c r="L64" s="111"/>
      <c r="M64" s="111"/>
      <c r="N64" s="111"/>
      <c r="O64" s="111"/>
      <c r="P64" s="110"/>
    </row>
    <row r="65" spans="1:15" ht="15">
      <c r="A65" s="111"/>
      <c r="B65" s="118"/>
      <c r="C65" s="118"/>
      <c r="D65" s="118"/>
      <c r="E65" s="118"/>
      <c r="F65" s="111"/>
      <c r="G65" s="111"/>
      <c r="H65" s="111"/>
      <c r="I65" s="111"/>
      <c r="J65" s="111"/>
      <c r="K65" s="111"/>
      <c r="L65" s="111"/>
      <c r="M65" s="111"/>
      <c r="N65" s="111"/>
      <c r="O65" s="111"/>
    </row>
    <row r="66" spans="1:15" ht="15">
      <c r="A66" s="111"/>
      <c r="B66" s="118"/>
      <c r="C66" s="118"/>
      <c r="D66" s="118"/>
      <c r="F66" s="111"/>
      <c r="G66" s="111"/>
      <c r="H66" s="111"/>
      <c r="I66" s="111"/>
      <c r="J66" s="111"/>
      <c r="K66" s="111"/>
      <c r="L66" s="111"/>
      <c r="M66" s="111"/>
      <c r="N66" s="111"/>
      <c r="O66" s="111"/>
    </row>
    <row r="67" spans="1:15">
      <c r="C67" s="118"/>
      <c r="D67" s="118"/>
    </row>
  </sheetData>
  <hyperlinks>
    <hyperlink ref="C17" r:id="rId1"/>
    <hyperlink ref="R22" r:id="rId2" display="http://www.eia.gov/tools/faqs/faq.cfm?id=307&amp;t=11"/>
  </hyperlinks>
  <pageMargins left="0.75" right="0.75" top="1" bottom="1" header="0.5" footer="0.5"/>
  <pageSetup orientation="portrait" horizontalDpi="4294967292" verticalDpi="4294967292"/>
  <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F169"/>
  <sheetViews>
    <sheetView topLeftCell="A29" workbookViewId="0">
      <selection activeCell="G73" sqref="G73"/>
    </sheetView>
  </sheetViews>
  <sheetFormatPr baseColWidth="10" defaultRowHeight="13" x14ac:dyDescent="0"/>
  <cols>
    <col min="1" max="1" width="3.140625" customWidth="1"/>
    <col min="2" max="2" width="2.42578125" customWidth="1"/>
    <col min="3" max="3" width="21.28515625" customWidth="1"/>
    <col min="4" max="4" width="14.7109375" customWidth="1"/>
    <col min="5" max="5" width="6.5703125" customWidth="1"/>
    <col min="6" max="6" width="5.42578125" customWidth="1"/>
    <col min="7" max="8" width="11.7109375" customWidth="1"/>
    <col min="9" max="18" width="12.7109375" customWidth="1"/>
    <col min="19" max="19" width="12.42578125" style="1" customWidth="1"/>
    <col min="20" max="20" width="10.85546875" style="14" customWidth="1"/>
    <col min="21" max="21" width="1.5703125" customWidth="1"/>
    <col min="22" max="22" width="5.42578125" customWidth="1"/>
    <col min="23" max="23" width="14.7109375" customWidth="1"/>
    <col min="24" max="24" width="6" customWidth="1"/>
    <col min="25" max="25" width="9.140625" customWidth="1"/>
    <col min="26" max="26" width="14.140625" bestFit="1" customWidth="1"/>
    <col min="28" max="29" width="11.28515625" customWidth="1"/>
    <col min="30" max="30" width="12.140625" customWidth="1"/>
    <col min="32" max="32" width="13.140625" bestFit="1" customWidth="1"/>
  </cols>
  <sheetData>
    <row r="1" spans="1:25">
      <c r="A1" t="s">
        <v>155</v>
      </c>
    </row>
    <row r="2" spans="1:25">
      <c r="C2" s="9" t="s">
        <v>120</v>
      </c>
      <c r="D2" s="12"/>
    </row>
    <row r="3" spans="1:25">
      <c r="C3" s="24" t="s">
        <v>121</v>
      </c>
      <c r="D3" s="99"/>
    </row>
    <row r="4" spans="1:25">
      <c r="C4" s="103" t="s">
        <v>91</v>
      </c>
      <c r="D4" s="100"/>
    </row>
    <row r="5" spans="1:25">
      <c r="C5" s="105" t="s">
        <v>122</v>
      </c>
      <c r="D5" s="101"/>
    </row>
    <row r="6" spans="1:25">
      <c r="C6" s="176" t="s">
        <v>387</v>
      </c>
      <c r="D6" s="101"/>
    </row>
    <row r="7" spans="1:25">
      <c r="D7" s="4"/>
      <c r="E7" s="4"/>
      <c r="G7" t="s">
        <v>157</v>
      </c>
      <c r="H7" t="s">
        <v>158</v>
      </c>
      <c r="I7" t="s">
        <v>159</v>
      </c>
      <c r="J7" t="s">
        <v>160</v>
      </c>
      <c r="K7" t="s">
        <v>161</v>
      </c>
      <c r="L7" t="s">
        <v>327</v>
      </c>
      <c r="M7" t="s">
        <v>328</v>
      </c>
      <c r="N7" t="s">
        <v>329</v>
      </c>
      <c r="O7" t="s">
        <v>330</v>
      </c>
      <c r="P7" t="s">
        <v>323</v>
      </c>
      <c r="Q7" t="s">
        <v>324</v>
      </c>
      <c r="R7" t="s">
        <v>156</v>
      </c>
      <c r="S7" s="1" t="s">
        <v>116</v>
      </c>
    </row>
    <row r="8" spans="1:25" s="231" customFormat="1">
      <c r="A8" s="231" t="s">
        <v>143</v>
      </c>
      <c r="G8" s="231">
        <f>G26</f>
        <v>139.19999999999999</v>
      </c>
      <c r="H8" s="231">
        <f t="shared" ref="H8:R8" si="0">H26</f>
        <v>139.19999999999999</v>
      </c>
      <c r="I8" s="231">
        <f t="shared" si="0"/>
        <v>139.19999999999999</v>
      </c>
      <c r="J8" s="231">
        <f t="shared" si="0"/>
        <v>139.19999999999999</v>
      </c>
      <c r="K8" s="231">
        <f t="shared" si="0"/>
        <v>139.19999999999999</v>
      </c>
      <c r="L8" s="231">
        <f t="shared" si="0"/>
        <v>139.19999999999999</v>
      </c>
      <c r="M8" s="231">
        <f t="shared" si="0"/>
        <v>139.19999999999999</v>
      </c>
      <c r="N8" s="231">
        <f t="shared" si="0"/>
        <v>139.19999999999999</v>
      </c>
      <c r="O8" s="231">
        <f t="shared" si="0"/>
        <v>139.19999999999999</v>
      </c>
      <c r="P8" s="231">
        <f t="shared" si="0"/>
        <v>139.19999999999999</v>
      </c>
      <c r="Q8" s="231">
        <f t="shared" si="0"/>
        <v>139.19999999999999</v>
      </c>
      <c r="R8" s="231">
        <f t="shared" si="0"/>
        <v>139.19999999999999</v>
      </c>
      <c r="V8" s="231" t="s">
        <v>145</v>
      </c>
      <c r="X8" s="231" t="s">
        <v>146</v>
      </c>
    </row>
    <row r="9" spans="1:25">
      <c r="C9" t="s">
        <v>499</v>
      </c>
      <c r="S9"/>
      <c r="T9"/>
    </row>
    <row r="10" spans="1:25">
      <c r="S10"/>
      <c r="T10"/>
    </row>
    <row r="11" spans="1:25">
      <c r="B11" t="s">
        <v>52</v>
      </c>
      <c r="D11" s="2"/>
      <c r="E11" s="2"/>
      <c r="G11" s="26">
        <f>$D$125*ROUND($D$119/5,1)*ROUND('JPods Summary'!$F$28/5,1)</f>
        <v>4.8</v>
      </c>
      <c r="H11" s="26">
        <f>$D$125*ROUND($D$119/5,1)*ROUND('JPods Summary'!$F$28/5,1)</f>
        <v>4.8</v>
      </c>
      <c r="I11" s="26">
        <f>$D$125*ROUND($D$119/5,1)*ROUND('JPods Summary'!$F$28/5,1)</f>
        <v>4.8</v>
      </c>
      <c r="J11" s="26">
        <f>$D$125*ROUND($D$119/5,1)*ROUND('JPods Summary'!$F$28/5,1)</f>
        <v>4.8</v>
      </c>
      <c r="K11" s="26">
        <f>$D$125*ROUND($D$119/5,1)*ROUND('JPods Summary'!$F$28/5,1)</f>
        <v>4.8</v>
      </c>
      <c r="L11" s="26">
        <f>$D$125*ROUND($D$119/5,1)*ROUND('JPods Summary'!$F$28/5,1)</f>
        <v>4.8</v>
      </c>
      <c r="M11" s="26">
        <f>$D$125*ROUND($D$119/5,1)*ROUND('JPods Summary'!$F$28/5,1)</f>
        <v>4.8</v>
      </c>
      <c r="N11" s="26">
        <f>$D$125*ROUND($D$119/5,1)*ROUND('JPods Summary'!$F$28/5,1)</f>
        <v>4.8</v>
      </c>
      <c r="O11" s="26">
        <f>$D$125*ROUND($D$119/5,1)*ROUND('JPods Summary'!$F$28/5,1)</f>
        <v>4.8</v>
      </c>
      <c r="P11" s="26">
        <f>$D$125*ROUND($D$119/5,1)*ROUND('JPods Summary'!$F$28/5,1)</f>
        <v>4.8</v>
      </c>
      <c r="Q11" s="26">
        <f>$D$125*ROUND($D$119/5,1)*ROUND('JPods Summary'!$F$28/5,1)</f>
        <v>4.8</v>
      </c>
      <c r="R11" s="26">
        <f>$D$125*ROUND($D$119/5,1)*ROUND('JPods Summary'!$F$28/5,1)</f>
        <v>4.8</v>
      </c>
      <c r="S11" s="1">
        <f>AVERAGE(G11:R11)</f>
        <v>4.7999999999999989</v>
      </c>
      <c r="V11" s="21">
        <f>SUM(G11:R11)/12</f>
        <v>4.7999999999999989</v>
      </c>
      <c r="X11">
        <f>SUM(G11:K11)/5</f>
        <v>4.8</v>
      </c>
    </row>
    <row r="12" spans="1:25">
      <c r="G12" s="1">
        <f>(G11*$P$120)</f>
        <v>21117.887999999995</v>
      </c>
      <c r="H12" s="20">
        <f>(H11*$P$125)+(IF(G$112&gt;0,G$112*$H$125,0))+(IF(G$112&gt;0,G$112*$I$125,0))+IF(G$117&gt;5,IF(G$112&gt;0,G$112*$J$125,MAX(G$112*G11*$K$125,$M$125*G11)))</f>
        <v>63360</v>
      </c>
      <c r="I12" s="20">
        <f>(I11*$P$125)+(IF(H$112&gt;0,H$112*$H$125,0))+(IF(H$112&gt;0,H$112*$I$125,0))+IF(H$117&gt;5,IF(H$112&gt;0,H$112*$J$125,MAX(H$112*H11*$K$125,$M$125*H11)))</f>
        <v>63360</v>
      </c>
      <c r="J12" s="20">
        <f>(J11*$P$125)+(IF(I$112&gt;0,I$112*$H$125,0))+(IF(I$112&gt;0,I$112*$I$125,0))+IF(I$117&gt;5,IF(I$112&gt;0,I$112*$J$125,MAX(I$112*I11*$K$125,$M$125*I11)))</f>
        <v>63360</v>
      </c>
      <c r="K12" s="20">
        <f>(K11*$P$125)+(IF(J$112&gt;0,J$112*$H$125,0))+(IF(J$112&gt;0,J$112*$I$125,0))+IF(J$117&gt;5,IF(J$112&gt;0,J$112*$J$125,MAX(J$112*J11*$K$125,$M$125*J11)))</f>
        <v>63360</v>
      </c>
      <c r="L12" s="20">
        <f>(L11*$P$125)+(IF(K$112&gt;0,K$112*$H$125,0))+(IF(K$112&gt;0,K$112*$I$125,0))+IF(K$117&gt;5,IF(K$112&gt;0,K$112*$J$125,MAX(K$112*K11*$K$125,$M$125*K11)))</f>
        <v>88398.753228571441</v>
      </c>
      <c r="M12" s="20">
        <f>(M11*$P$125)+(IF(L$112&gt;0,L$112*$H$125,0))+(IF(L$112&gt;0,L$112*$I$125,0))+IF(L$117&gt;5,IF(L$112&gt;0,L$112*$J$125,MAX(L$112*L11*$K$125,$M$125*L11)))</f>
        <v>378968.36564914294</v>
      </c>
      <c r="N12" s="20">
        <f>(N11*$P$125)+(IF(M$112&gt;0,M$112*$H$125,0))+(IF(M$112&gt;0,M$112*$I$125,0))+IF(M$117&gt;5,IF(M$112&gt;0,M$112*$J$125,MAX(M$112*M11*$K$125,$M$125*M11)))</f>
        <v>387772.40394057526</v>
      </c>
      <c r="O12" s="20">
        <f>(O11*$P$125)+(IF(N$112&gt;0,N$112*$H$125,0))+(IF(N$112&gt;0,N$112*$I$125,0))+IF(N$117&gt;5,IF(N$112&gt;0,N$112*$J$125,MAX(N$112*N11*$K$125,$M$125*N11)))</f>
        <v>387244.21372642263</v>
      </c>
      <c r="P12" s="20">
        <f>(P11*$P$125)+(IF(O$112&gt;0,O$112*$H$125,0))+(IF(O$112&gt;0,O$112*$I$125,0))+IF(O$117&gt;5,IF(O$112&gt;0,O$112*$J$125,MAX(O$112*O11*$K$125,$M$125*O11)))</f>
        <v>312021.01529927185</v>
      </c>
      <c r="Q12" s="20">
        <f>(Q11*$P$125)+(IF(P$112&gt;0,P$112*$H$125,0))+(IF(P$112&gt;0,P$112*$I$125,0))+IF(P$117&gt;5,IF(P$112&gt;0,P$112*$J$125,MAX(P$112*P11*$K$125,$M$125*P11)))</f>
        <v>389839.29270462308</v>
      </c>
      <c r="R12" s="20">
        <f>(R11*$P$125)+(IF(Q$112&gt;0,Q$112*$H$125,0))+(IF(Q$112&gt;0,Q$112*$I$125,0))+IF(Q$117&gt;5,IF(Q$112&gt;0,Q$112*$J$125,MAX(Q$112*Q11*$K$125,$M$125*Q11)))</f>
        <v>359906.93328057986</v>
      </c>
      <c r="S12" s="1">
        <f t="shared" ref="S12:S25" si="1">SUM(G12:R12)</f>
        <v>2578708.865829187</v>
      </c>
      <c r="V12" s="21"/>
      <c r="W12" s="1">
        <f>S12/V11</f>
        <v>537231.01371441409</v>
      </c>
      <c r="Y12" s="1">
        <f>T12/X11/5*12</f>
        <v>0</v>
      </c>
    </row>
    <row r="13" spans="1:25">
      <c r="B13" t="s">
        <v>14</v>
      </c>
      <c r="G13" s="26">
        <f>$D$120*ROUND($D$119/5,1)*ROUND('JPods Summary'!$F$28/5,1)</f>
        <v>9.6</v>
      </c>
      <c r="H13" s="26">
        <f>$D$120*ROUND($D$119/5,1)*ROUND('JPods Summary'!$F$28/5,1)</f>
        <v>9.6</v>
      </c>
      <c r="I13" s="26">
        <f>$D$120*ROUND($D$119/5,1)*ROUND('JPods Summary'!$F$28/5,1)</f>
        <v>9.6</v>
      </c>
      <c r="J13" s="26">
        <f>$D$120*ROUND($D$119/5,1)*ROUND('JPods Summary'!$F$28/5,1)</f>
        <v>9.6</v>
      </c>
      <c r="K13" s="26">
        <f>$D$120*ROUND($D$119/5,1)*ROUND('JPods Summary'!$F$28/5,1)</f>
        <v>9.6</v>
      </c>
      <c r="L13" s="26">
        <f>$D$120*ROUND($D$119/5,1)*ROUND('JPods Summary'!$F$28/5,1)</f>
        <v>9.6</v>
      </c>
      <c r="M13" s="26">
        <f>$D$120*ROUND($D$119/5,1)*ROUND('JPods Summary'!$F$28/5,1)</f>
        <v>9.6</v>
      </c>
      <c r="N13" s="26">
        <f>$D$120*ROUND($D$119/5,1)*ROUND('JPods Summary'!$F$28/5,1)</f>
        <v>9.6</v>
      </c>
      <c r="O13" s="26">
        <f>$D$120*ROUND($D$119/5,1)*ROUND('JPods Summary'!$F$28/5,1)</f>
        <v>9.6</v>
      </c>
      <c r="P13" s="26">
        <f>$D$120*ROUND($D$119/5,1)*ROUND('JPods Summary'!$F$28/5,1)</f>
        <v>9.6</v>
      </c>
      <c r="Q13" s="26">
        <f>$D$120*ROUND($D$119/5,1)*ROUND('JPods Summary'!$F$28/5,1)</f>
        <v>9.6</v>
      </c>
      <c r="R13" s="26">
        <f>$D$120*ROUND($D$119/5,1)*ROUND('JPods Summary'!$F$28/5,1)</f>
        <v>9.6</v>
      </c>
      <c r="S13" s="1">
        <f>AVERAGE(G13:R13)</f>
        <v>9.5999999999999979</v>
      </c>
      <c r="V13" s="21">
        <f>SUM(G13:R13)/12</f>
        <v>9.5999999999999979</v>
      </c>
      <c r="X13">
        <f>SUM(G13:K13)/5</f>
        <v>9.6</v>
      </c>
    </row>
    <row r="14" spans="1:25">
      <c r="G14" s="1">
        <f>(G13*$P$120)</f>
        <v>42235.775999999991</v>
      </c>
      <c r="H14" s="20">
        <f>(H13*$P$120)+(IF(G$112&gt;0,G$112*$H$120,0))+(IF(G$112&gt;0,G$112*$I$120,0))+IF(G$117&gt;5,IF(G$112&gt;0,G$112*$J$120,MAX(G$112*G13*$K$120,$M$120*G13)))</f>
        <v>42235.775999999991</v>
      </c>
      <c r="I14" s="20">
        <f>(I13*$P$120)+(IF(H$112&gt;0,H$112*$H$120,0))+(IF(H$112&gt;0,H$112*$I$120,0))+IF(H$117&gt;5,IF(H$112&gt;0,H$112*$J$120,MAX(H$112*H13*$K$120,$M$120*H13)))</f>
        <v>42235.775999999991</v>
      </c>
      <c r="J14" s="20">
        <f>(J13*$P$120)+(IF(I$112&gt;0,I$112*$H$120,0))+(IF(I$112&gt;0,I$112*$I$120,0))+IF(I$117&gt;5,IF(I$112&gt;0,I$112*$J$120,MAX(I$112*I13*$K$120,$M$120*I13)))</f>
        <v>42235.775999999991</v>
      </c>
      <c r="K14" s="20">
        <f>(K13*$P$120)+(IF(J$112&gt;0,J$112*$H$120,0))+(IF(J$112&gt;0,J$112*$I$120,0))+IF(J$117&gt;5,IF(J$112&gt;0,J$112*$J$120,MAX(J$112*J13*$K$120,$M$120*J13)))</f>
        <v>42235.775999999991</v>
      </c>
      <c r="L14" s="20">
        <f>(L13*$P$120)+(IF(K$112&gt;0,K$112*$H$120,0))+(IF(K$112&gt;0,K$112*$I$120,0))+IF(K$117&gt;5,IF(K$112&gt;0,K$112*$J$120,MAX(K$112*K13*$K$120,$M$120*K13)))</f>
        <v>67274.529228571439</v>
      </c>
      <c r="M14" s="20">
        <f>(M13*$P$120)+(IF(L$112&gt;0,L$112*$H$120,0))+(IF(L$112&gt;0,L$112*$I$120,0))+IF(L$117&gt;5,IF(L$112&gt;0,L$112*$J$120,MAX(L$112*L13*$K$120,$M$120*L13)))</f>
        <v>357844.14164914296</v>
      </c>
      <c r="N14" s="20">
        <f>(N13*$P$120)+(IF(M$112&gt;0,M$112*$H$120,0))+(IF(M$112&gt;0,M$112*$I$120,0))+IF(M$117&gt;5,IF(M$112&gt;0,M$112*$J$120,MAX(M$112*M13*$K$120,$M$120*M13)))</f>
        <v>366648.17994057527</v>
      </c>
      <c r="O14" s="20">
        <f>(O13*$P$120)+(IF(N$112&gt;0,N$112*$H$120,0))+(IF(N$112&gt;0,N$112*$I$120,0))+IF(N$117&gt;5,IF(N$112&gt;0,N$112*$J$120,MAX(N$112*N13*$K$120,$M$120*N13)))</f>
        <v>366119.98972642265</v>
      </c>
      <c r="P14" s="20">
        <f>(P13*$P$120)+(IF(O$112&gt;0,O$112*$H$120,0))+(IF(O$112&gt;0,O$112*$I$120,0))+IF(O$117&gt;5,IF(O$112&gt;0,O$112*$J$120,MAX(O$112*O13*$K$120,$M$120*O13)))</f>
        <v>290896.79129927186</v>
      </c>
      <c r="Q14" s="20">
        <f>(Q13*$P$120)+(IF(P$112&gt;0,P$112*$H$120,0))+(IF(P$112&gt;0,P$112*$I$120,0))+IF(P$117&gt;5,IF(P$112&gt;0,P$112*$J$120,MAX(P$112*P13*$K$120,$M$120*P13)))</f>
        <v>368715.06870462303</v>
      </c>
      <c r="R14" s="20">
        <f>(R13*$P$120)+(IF(Q$112&gt;0,Q$112*$H$120,0))+(IF(Q$112&gt;0,Q$112*$I$120,0))+IF(Q$117&gt;5,IF(Q$112&gt;0,Q$112*$J$120,MAX(Q$112*Q13*$K$120,$M$120*Q13)))</f>
        <v>338782.70928057982</v>
      </c>
      <c r="S14" s="1">
        <f t="shared" si="1"/>
        <v>2367460.2898291871</v>
      </c>
      <c r="V14" s="21"/>
      <c r="W14" s="1">
        <f>S14/V13</f>
        <v>246610.44685720705</v>
      </c>
      <c r="Y14" s="1">
        <f>T14/X13/5*12</f>
        <v>0</v>
      </c>
    </row>
    <row r="15" spans="1:25">
      <c r="B15" t="s">
        <v>234</v>
      </c>
      <c r="F15" s="7"/>
      <c r="G15" s="26">
        <f>$D$121*ROUND($D$119/5,1)*ROUND('JPods Summary'!$F$28/5,1)</f>
        <v>9.6</v>
      </c>
      <c r="H15" s="26">
        <f>$D$121*ROUND($D$119/5,1)*ROUND('JPods Summary'!$F$28/5,1)</f>
        <v>9.6</v>
      </c>
      <c r="I15" s="26">
        <f>$D$121*ROUND($D$119/5,1)*ROUND('JPods Summary'!$F$28/5,1)</f>
        <v>9.6</v>
      </c>
      <c r="J15" s="26">
        <f>$D$121*ROUND($D$119/5,1)*ROUND('JPods Summary'!$F$28/5,1)</f>
        <v>9.6</v>
      </c>
      <c r="K15" s="26">
        <f>$D$121*ROUND($D$119/5,1)*ROUND('JPods Summary'!$F$28/5,1)</f>
        <v>9.6</v>
      </c>
      <c r="L15" s="26">
        <f>$D$121*ROUND($D$119/5,1)*ROUND('JPods Summary'!$F$28/5,1)</f>
        <v>9.6</v>
      </c>
      <c r="M15" s="26">
        <f>$D$121*ROUND($D$119/5,1)*ROUND('JPods Summary'!$F$28/5,1)</f>
        <v>9.6</v>
      </c>
      <c r="N15" s="26">
        <f>$D$121*ROUND($D$119/5,1)*ROUND('JPods Summary'!$F$28/5,1)</f>
        <v>9.6</v>
      </c>
      <c r="O15" s="26">
        <f>$D$121*ROUND($D$119/5,1)*ROUND('JPods Summary'!$F$28/5,1)</f>
        <v>9.6</v>
      </c>
      <c r="P15" s="26">
        <f>$D$121*ROUND($D$119/5,1)*ROUND('JPods Summary'!$F$28/5,1)</f>
        <v>9.6</v>
      </c>
      <c r="Q15" s="26">
        <f>$D$121*ROUND($D$119/5,1)*ROUND('JPods Summary'!$F$28/5,1)</f>
        <v>9.6</v>
      </c>
      <c r="R15" s="26">
        <f>$D$121*ROUND($D$119/5,1)*ROUND('JPods Summary'!$F$28/5,1)</f>
        <v>9.6</v>
      </c>
      <c r="S15" s="1">
        <f>AVERAGE(G15:R15)</f>
        <v>9.5999999999999979</v>
      </c>
      <c r="V15" s="21">
        <f t="shared" ref="V15:V21" si="2">SUM(G15:R15)/12</f>
        <v>9.5999999999999979</v>
      </c>
      <c r="W15" s="1"/>
      <c r="X15">
        <f t="shared" ref="X15:X21" si="3">SUM(G15:K15)/5</f>
        <v>9.6</v>
      </c>
      <c r="Y15" s="1"/>
    </row>
    <row r="16" spans="1:25">
      <c r="G16" s="1">
        <f>(G15*$P$121)</f>
        <v>79200</v>
      </c>
      <c r="H16" s="20">
        <f>(H15*$P$121)+(IF(G$112&gt;0,G$112*$H$121,0))+(IF(G$112&gt;0,G$112*$I$121,0))+IF(G$117&gt;5,IF(G$112&gt;0,G$112*$J$121,MAX(G$112*G15*$K$121,$M$121*G15)))</f>
        <v>79200</v>
      </c>
      <c r="I16" s="20">
        <f>(I15*$P$121)+(IF(H$112&gt;0,H$112*$H$121,0))+(IF(H$112&gt;0,H$112*$I$121,0))+IF(H$117&gt;5,IF(H$112&gt;0,H$112*$J$121,MAX(H$112*H15*$K$121,$M$121*H15)))</f>
        <v>79200</v>
      </c>
      <c r="J16" s="20">
        <f>(J15*$P$121)+(IF(I$112&gt;0,I$112*$H$121,0))+(IF(I$112&gt;0,I$112*$I$121,0))+IF(I$117&gt;5,IF(I$112&gt;0,I$112*$J$121,MAX(I$112*I15*$K$121,$M$121*I15)))</f>
        <v>79200</v>
      </c>
      <c r="K16" s="20">
        <f>(K15*$P$121)+(IF(J$112&gt;0,J$112*$H$121,0))+(IF(J$112&gt;0,J$112*$I$121,0))+IF(J$117&gt;5,IF(J$112&gt;0,J$112*$J$121,MAX(J$112*J15*$K$121,$M$121*J15)))</f>
        <v>79200</v>
      </c>
      <c r="L16" s="20">
        <f>(L15*$P$121)+(IF(K$112&gt;0,K$112*$H$121,0))+(IF(K$112&gt;0,K$112*$I$121,0))+IF(K$117&gt;5,IF(K$112&gt;0,K$112*$J$121,MAX(K$112*K15*$K$121,$M$121*K15)))</f>
        <v>104238.75322857144</v>
      </c>
      <c r="M16" s="20">
        <f>(M15*$P$121)+(IF(L$112&gt;0,L$112*$H$121,0))+(IF(L$112&gt;0,L$112*$I$121,0))+IF(L$117&gt;5,IF(L$112&gt;0,L$112*$J$121,MAX(L$112*L15*$K$121,$M$121*L15)))</f>
        <v>394808.36564914294</v>
      </c>
      <c r="N16" s="20">
        <f>(N15*$P$121)+(IF(M$112&gt;0,M$112*$H$121,0))+(IF(M$112&gt;0,M$112*$I$121,0))+IF(M$117&gt;5,IF(M$112&gt;0,M$112*$J$121,MAX(M$112*M15*$K$121,$M$121*M15)))</f>
        <v>403612.40394057526</v>
      </c>
      <c r="O16" s="20">
        <f>(O15*$P$121)+(IF(N$112&gt;0,N$112*$H$121,0))+(IF(N$112&gt;0,N$112*$I$121,0))+IF(N$117&gt;5,IF(N$112&gt;0,N$112*$J$121,MAX(N$112*N15*$K$121,$M$121*N15)))</f>
        <v>403084.21372642263</v>
      </c>
      <c r="P16" s="20">
        <f>(P15*$P$121)+(IF(O$112&gt;0,O$112*$H$121,0))+(IF(O$112&gt;0,O$112*$I$121,0))+IF(O$117&gt;5,IF(O$112&gt;0,O$112*$J$121,MAX(O$112*O15*$K$121,$M$121*O15)))</f>
        <v>327861.01529927185</v>
      </c>
      <c r="Q16" s="20">
        <f>(Q15*$P$121)+(IF(P$112&gt;0,P$112*$H$121,0))+(IF(P$112&gt;0,P$112*$I$121,0))+IF(P$117&gt;5,IF(P$112&gt;0,P$112*$J$121,MAX(P$112*P15*$K$121,$M$121*P15)))</f>
        <v>405679.29270462308</v>
      </c>
      <c r="R16" s="20">
        <f>(R15*$P$121)+(IF(Q$112&gt;0,Q$112*$H$121,0))+(IF(Q$112&gt;0,Q$112*$I$121,0))+IF(Q$117&gt;5,IF(Q$112&gt;0,Q$112*$J$121,MAX(Q$112*Q15*$K$121,$M$121*Q15)))</f>
        <v>375746.93328057986</v>
      </c>
      <c r="S16" s="1">
        <f t="shared" si="1"/>
        <v>2811030.9778291872</v>
      </c>
      <c r="V16" s="21"/>
      <c r="W16" s="1">
        <f>S16/V15</f>
        <v>292815.72685720708</v>
      </c>
      <c r="Y16" s="1">
        <f>T16/X15/5*12</f>
        <v>0</v>
      </c>
    </row>
    <row r="17" spans="1:25">
      <c r="B17" t="s">
        <v>232</v>
      </c>
      <c r="G17" s="26">
        <f>$D$122*ROUND($D$119/5,1)*ROUND('JPods Summary'!$F$28/5,1)</f>
        <v>28.799999999999997</v>
      </c>
      <c r="H17" s="26">
        <f>$D$122*ROUND($D$119/5,1)*ROUND('JPods Summary'!$F$28/5,1)</f>
        <v>28.799999999999997</v>
      </c>
      <c r="I17" s="26">
        <f>$D$122*ROUND($D$119/5,1)*ROUND('JPods Summary'!$F$28/5,1)</f>
        <v>28.799999999999997</v>
      </c>
      <c r="J17" s="26">
        <f>$D$122*ROUND($D$119/5,1)*ROUND('JPods Summary'!$F$28/5,1)</f>
        <v>28.799999999999997</v>
      </c>
      <c r="K17" s="26">
        <f>$D$122*ROUND($D$119/5,1)*ROUND('JPods Summary'!$F$28/5,1)</f>
        <v>28.799999999999997</v>
      </c>
      <c r="L17" s="26">
        <f>$D$122*ROUND($D$119/5,1)*ROUND('JPods Summary'!$F$28/5,1)</f>
        <v>28.799999999999997</v>
      </c>
      <c r="M17" s="26">
        <f>$D$122*ROUND($D$119/5,1)*ROUND('JPods Summary'!$F$28/5,1)</f>
        <v>28.799999999999997</v>
      </c>
      <c r="N17" s="26">
        <f>$D$122*ROUND($D$119/5,1)*ROUND('JPods Summary'!$F$28/5,1)</f>
        <v>28.799999999999997</v>
      </c>
      <c r="O17" s="26">
        <f>$D$122*ROUND($D$119/5,1)*ROUND('JPods Summary'!$F$28/5,1)</f>
        <v>28.799999999999997</v>
      </c>
      <c r="P17" s="26">
        <f>$D$122*ROUND($D$119/5,1)*ROUND('JPods Summary'!$F$28/5,1)</f>
        <v>28.799999999999997</v>
      </c>
      <c r="Q17" s="26">
        <f>$D$122*ROUND($D$119/5,1)*ROUND('JPods Summary'!$F$28/5,1)</f>
        <v>28.799999999999997</v>
      </c>
      <c r="R17" s="26">
        <f>$D$122*ROUND($D$119/5,1)*ROUND('JPods Summary'!$F$28/5,1)</f>
        <v>28.799999999999997</v>
      </c>
      <c r="S17" s="1">
        <f>AVERAGE(G17:R17)</f>
        <v>28.800000000000008</v>
      </c>
      <c r="V17" s="21">
        <f t="shared" si="2"/>
        <v>28.800000000000008</v>
      </c>
      <c r="W17" s="1"/>
      <c r="X17">
        <f t="shared" si="3"/>
        <v>28.8</v>
      </c>
      <c r="Y17" s="1"/>
    </row>
    <row r="18" spans="1:25">
      <c r="G18" s="1">
        <f>(G17*$P$122)</f>
        <v>380159.99999999994</v>
      </c>
      <c r="H18" s="20">
        <f>(H17*$P$122)+(IF(G$112&gt;0,G$112*$H$122,0))+(IF(G$112&gt;0,G$112*$I$122,0))+IF(G$117&gt;5,IF(G$112&gt;0,G$112*$J$122,MAX(G$112*G17*$K$122,$M$122*G17)))</f>
        <v>380159.99999999994</v>
      </c>
      <c r="I18" s="20">
        <f>(I17*$P$122)+(IF(H$112&gt;0,H$112*$H$122,0))+(IF(H$112&gt;0,H$112*$I$122,0))+IF(H$117&gt;5,IF(H$112&gt;0,H$112*$J$122,MAX(H$112*H17*$K$122,$M$122*H17)))</f>
        <v>380159.99999999994</v>
      </c>
      <c r="J18" s="20">
        <f>(J17*$P$122)+(IF(I$112&gt;0,I$112*$H$122,0))+(IF(I$112&gt;0,I$112*$I$122,0))+IF(I$117&gt;5,IF(I$112&gt;0,I$112*$J$122,MAX(I$112*I17*$K$122,$M$122*I17)))</f>
        <v>380159.99999999994</v>
      </c>
      <c r="K18" s="20">
        <f>(K17*$P$122)+(IF(J$112&gt;0,J$112*$H$122,0))+(IF(J$112&gt;0,J$112*$I$122,0))+IF(J$117&gt;5,IF(J$112&gt;0,J$112*$J$122,MAX(J$112*J17*$K$122,$M$122*J17)))</f>
        <v>380159.99999999994</v>
      </c>
      <c r="L18" s="20">
        <f>(L17*$P$122)+(IF(K$112&gt;0,K$112*$H$122,0))+(IF(K$112&gt;0,K$112*$I$122,0))+IF(K$117&gt;5,IF(K$112&gt;0,K$112*$J$122,MAX(K$112*K17*$K$122,$M$122*K17)))</f>
        <v>405198.75322857144</v>
      </c>
      <c r="M18" s="20">
        <f>(M17*$P$122)+(IF(L$112&gt;0,L$112*$H$122,0))+(IF(L$112&gt;0,L$112*$I$122,0))+IF(L$117&gt;5,IF(L$112&gt;0,L$112*$J$122,MAX(L$112*L17*$K$122,$M$122*L17)))</f>
        <v>695768.36564914277</v>
      </c>
      <c r="N18" s="20">
        <f>(N17*$P$122)+(IF(M$112&gt;0,M$112*$H$122,0))+(IF(M$112&gt;0,M$112*$I$122,0))+IF(M$117&gt;5,IF(M$112&gt;0,M$112*$J$122,MAX(M$112*M17*$K$122,$M$122*M17)))</f>
        <v>704572.40394057531</v>
      </c>
      <c r="O18" s="20">
        <f>(O17*$P$122)+(IF(N$112&gt;0,N$112*$H$122,0))+(IF(N$112&gt;0,N$112*$I$122,0))+IF(N$117&gt;5,IF(N$112&gt;0,N$112*$J$122,MAX(N$112*N17*$K$122,$M$122*N17)))</f>
        <v>704044.21372642263</v>
      </c>
      <c r="P18" s="20">
        <f>(P17*$P$122)+(IF(O$112&gt;0,O$112*$H$122,0))+(IF(O$112&gt;0,O$112*$I$122,0))+IF(O$117&gt;5,IF(O$112&gt;0,O$112*$J$122,MAX(O$112*O17*$K$122,$M$122*O17)))</f>
        <v>628821.01529927179</v>
      </c>
      <c r="Q18" s="20">
        <f>(Q17*$P$122)+(IF(P$112&gt;0,P$112*$H$122,0))+(IF(P$112&gt;0,P$112*$I$122,0))+IF(P$117&gt;5,IF(P$112&gt;0,P$112*$J$122,MAX(P$112*P17*$K$122,$M$122*P17)))</f>
        <v>706639.29270462308</v>
      </c>
      <c r="R18" s="20">
        <f>(R17*$P$122)+(IF(Q$112&gt;0,Q$112*$H$122,0))+(IF(Q$112&gt;0,Q$112*$I$122,0))+IF(Q$117&gt;5,IF(Q$112&gt;0,Q$112*$J$122,MAX(Q$112*Q17*$K$122,$M$122*Q17)))</f>
        <v>676706.93328057975</v>
      </c>
      <c r="S18" s="1">
        <f t="shared" si="1"/>
        <v>6422550.9778291862</v>
      </c>
      <c r="V18" s="21"/>
      <c r="W18" s="1">
        <f>S18/V17</f>
        <v>223005.24228573559</v>
      </c>
      <c r="Y18" s="1">
        <f>T18/X17/5*12</f>
        <v>0</v>
      </c>
    </row>
    <row r="19" spans="1:25">
      <c r="B19" t="s">
        <v>235</v>
      </c>
      <c r="G19" s="26">
        <f>$D$123*ROUND($D$119/5,1)*ROUND('JPods Summary'!$F$28/5,1)</f>
        <v>28.799999999999997</v>
      </c>
      <c r="H19" s="26">
        <f>$D$123*ROUND($D$119/5,1)*ROUND('JPods Summary'!$F$28/5,1)</f>
        <v>28.799999999999997</v>
      </c>
      <c r="I19" s="26">
        <f>$D$123*ROUND($D$119/5,1)*ROUND('JPods Summary'!$F$28/5,1)</f>
        <v>28.799999999999997</v>
      </c>
      <c r="J19" s="26">
        <f>$D$123*ROUND($D$119/5,1)*ROUND('JPods Summary'!$F$28/5,1)</f>
        <v>28.799999999999997</v>
      </c>
      <c r="K19" s="26">
        <f>$D$123*ROUND($D$119/5,1)*ROUND('JPods Summary'!$F$28/5,1)</f>
        <v>28.799999999999997</v>
      </c>
      <c r="L19" s="26">
        <f>$D$123*ROUND($D$119/5,1)*ROUND('JPods Summary'!$F$28/5,1)</f>
        <v>28.799999999999997</v>
      </c>
      <c r="M19" s="26">
        <f>$D$123*ROUND($D$119/5,1)*ROUND('JPods Summary'!$F$28/5,1)</f>
        <v>28.799999999999997</v>
      </c>
      <c r="N19" s="26">
        <f>$D$123*ROUND($D$119/5,1)*ROUND('JPods Summary'!$F$28/5,1)</f>
        <v>28.799999999999997</v>
      </c>
      <c r="O19" s="26">
        <f>$D$123*ROUND($D$119/5,1)*ROUND('JPods Summary'!$F$28/5,1)</f>
        <v>28.799999999999997</v>
      </c>
      <c r="P19" s="26">
        <f>$D$123*ROUND($D$119/5,1)*ROUND('JPods Summary'!$F$28/5,1)</f>
        <v>28.799999999999997</v>
      </c>
      <c r="Q19" s="26">
        <f>$D$123*ROUND($D$119/5,1)*ROUND('JPods Summary'!$F$28/5,1)</f>
        <v>28.799999999999997</v>
      </c>
      <c r="R19" s="26">
        <f>$D$123*ROUND($D$119/5,1)*ROUND('JPods Summary'!$F$28/5,1)</f>
        <v>28.799999999999997</v>
      </c>
      <c r="S19" s="1">
        <f>AVERAGE(G19:R19)</f>
        <v>28.800000000000008</v>
      </c>
      <c r="V19" s="21">
        <f t="shared" si="2"/>
        <v>28.800000000000008</v>
      </c>
      <c r="W19" s="1"/>
      <c r="X19">
        <f t="shared" si="3"/>
        <v>28.8</v>
      </c>
      <c r="Y19" s="1"/>
    </row>
    <row r="20" spans="1:25">
      <c r="G20" s="1">
        <f>G19*$P$123</f>
        <v>237599.99999999997</v>
      </c>
      <c r="H20" s="20">
        <f>(H19*$P$123)+(IF(G$112&gt;0,G$112*$H$123,0))+((IF(G$112&gt;0,G$112*$I$123,0))+IF(G$117&gt;5,IF(G$111&gt;0,G$112*$J$123,MAX(G$112*G19*$K$123,$M$120*G19))))</f>
        <v>237599.99999999997</v>
      </c>
      <c r="I20" s="20">
        <f>(I19*$P$123)+(IF(H$112&gt;0,H$112*$H$123,0))+((IF(H$112&gt;0,H$112*$I$123,0))+IF(H$117&gt;5,IF(H$111&gt;0,H$112*$J$123,MAX(H$112*H19*$K$123,$M$120*H19))))</f>
        <v>237599.99999999997</v>
      </c>
      <c r="J20" s="20">
        <f>(J19*$P$123)+(IF(I$112&gt;0,I$112*$H$123,0))+((IF(I$112&gt;0,I$112*$I$123,0))+IF(I$117&gt;5,IF(I$111&gt;0,I$112*$J$123,MAX(I$112*I19*$K$123,$M$120*I19))))</f>
        <v>237599.99999999997</v>
      </c>
      <c r="K20" s="20">
        <f>(K19*$P$123)+(IF(J$112&gt;0,J$112*$H$123,0))+((IF(J$112&gt;0,J$112*$I$123,0))+IF(J$117&gt;5,IF(J$111&gt;0,J$112*$J$123,MAX(J$112*J19*$K$123,$M$120*J19))))</f>
        <v>237599.99999999997</v>
      </c>
      <c r="L20" s="20">
        <f>(L19*$P$123)+(IF(K$112&gt;0,K$112*$H$123,0))+((IF(K$112&gt;0,K$112*$I$123,0))+IF(K$117&gt;5,IF(K$111&gt;0,K$112*$J$123,MAX(K$112*K19*$K$123,$M$120*K19))))</f>
        <v>262638.75322857144</v>
      </c>
      <c r="M20" s="20">
        <f>(M19*$P$123)+(IF(L$112&gt;0,L$112*$H$123,0))+((IF(L$112&gt;0,L$112*$I$123,0))+IF(L$117&gt;5,IF(L$111&gt;0,L$112*$J$123,MAX(L$112*L19*$K$123,$M$120*L19))))</f>
        <v>553208.36564914288</v>
      </c>
      <c r="N20" s="20">
        <f>(N19*$P$123)+(IF(M$112&gt;0,M$112*$H$123,0))+((IF(M$112&gt;0,M$112*$I$123,0))+IF(M$117&gt;5,IF(M$111&gt;0,M$112*$J$123,MAX(M$112*M19*$K$123,$M$120*M19))))</f>
        <v>562012.40394057531</v>
      </c>
      <c r="O20" s="20">
        <f>(O19*$P$123)+(IF(N$112&gt;0,N$112*$H$123,0))+((IF(N$112&gt;0,N$112*$I$123,0))+IF(N$117&gt;5,IF(N$111&gt;0,N$112*$J$123,MAX(N$112*N19*$K$123,$M$120*N19))))</f>
        <v>561484.21372642263</v>
      </c>
      <c r="P20" s="20">
        <f>(P19*$P$123)+(IF(O$112&gt;0,O$112*$H$123,0))+((IF(O$112&gt;0,O$112*$I$123,0))+IF(O$117&gt;5,IF(O$111&gt;0,O$112*$J$123,MAX(O$112*O19*$K$123,$M$120*O19))))</f>
        <v>486261.01529927179</v>
      </c>
      <c r="Q20" s="20">
        <f>(Q19*$P$123)+(IF(P$112&gt;0,P$112*$H$123,0))+((IF(P$112&gt;0,P$112*$I$123,0))+IF(P$117&gt;5,IF(P$111&gt;0,P$112*$J$123,MAX(P$112*P19*$K$123,$M$120*P19))))</f>
        <v>564079.29270462308</v>
      </c>
      <c r="R20" s="20">
        <f>(R19*$P$123)+(IF(Q$112&gt;0,Q$112*$H$123,0))+((IF(Q$112&gt;0,Q$112*$I$123,0))+IF(Q$117&gt;5,IF(Q$111&gt;0,Q$112*$J$123,MAX(Q$112*Q19*$K$123,$M$120*Q19))))</f>
        <v>534146.93328057975</v>
      </c>
      <c r="S20" s="1">
        <f t="shared" si="1"/>
        <v>4711830.9778291862</v>
      </c>
      <c r="V20" s="21"/>
      <c r="W20" s="1">
        <f>S20/V19</f>
        <v>163605.24228573559</v>
      </c>
      <c r="Y20" s="1">
        <f>T20/X19/5*12</f>
        <v>0</v>
      </c>
    </row>
    <row r="21" spans="1:25">
      <c r="B21" t="s">
        <v>233</v>
      </c>
      <c r="G21" s="26">
        <f>$D$126*ROUND($D$119/5,1)*ROUND('JPods Summary'!$F$28/5,1)</f>
        <v>57.599999999999994</v>
      </c>
      <c r="H21" s="26">
        <f>$D$126*ROUND($D$119/5,1)*ROUND('JPods Summary'!$F$28/5,1)</f>
        <v>57.599999999999994</v>
      </c>
      <c r="I21" s="26">
        <f>$D$126*ROUND($D$119/5,1)*ROUND('JPods Summary'!$F$28/5,1)</f>
        <v>57.599999999999994</v>
      </c>
      <c r="J21" s="26">
        <f>$D$126*ROUND($D$119/5,1)*ROUND('JPods Summary'!$F$28/5,1)</f>
        <v>57.599999999999994</v>
      </c>
      <c r="K21" s="26">
        <f>$D$126*ROUND($D$119/5,1)*ROUND('JPods Summary'!$F$28/5,1)</f>
        <v>57.599999999999994</v>
      </c>
      <c r="L21" s="26">
        <f>$D$126*ROUND($D$119/5,1)*ROUND('JPods Summary'!$F$28/5,1)</f>
        <v>57.599999999999994</v>
      </c>
      <c r="M21" s="26">
        <f>$D$126*ROUND($D$119/5,1)*ROUND('JPods Summary'!$F$28/5,1)</f>
        <v>57.599999999999994</v>
      </c>
      <c r="N21" s="26">
        <f>$D$126*ROUND($D$119/5,1)*ROUND('JPods Summary'!$F$28/5,1)</f>
        <v>57.599999999999994</v>
      </c>
      <c r="O21" s="26">
        <f>$D$126*ROUND($D$119/5,1)*ROUND('JPods Summary'!$F$28/5,1)</f>
        <v>57.599999999999994</v>
      </c>
      <c r="P21" s="26">
        <f>$D$126*ROUND($D$119/5,1)*ROUND('JPods Summary'!$F$28/5,1)</f>
        <v>57.599999999999994</v>
      </c>
      <c r="Q21" s="26">
        <f>$D$126*ROUND($D$119/5,1)*ROUND('JPods Summary'!$F$28/5,1)</f>
        <v>57.599999999999994</v>
      </c>
      <c r="R21" s="26">
        <f>$D$126*ROUND($D$119/5,1)*ROUND('JPods Summary'!$F$28/5,1)</f>
        <v>57.599999999999994</v>
      </c>
      <c r="S21" s="1">
        <f>AVERAGE(G21:R21)</f>
        <v>57.600000000000016</v>
      </c>
      <c r="V21" s="21">
        <f t="shared" si="2"/>
        <v>57.600000000000016</v>
      </c>
      <c r="W21" s="1"/>
      <c r="X21">
        <f t="shared" si="3"/>
        <v>57.6</v>
      </c>
      <c r="Y21" s="1"/>
    </row>
    <row r="22" spans="1:25">
      <c r="G22" s="1">
        <f>G21*$P$126</f>
        <v>253414.65599999996</v>
      </c>
      <c r="H22" s="20">
        <f>(H21*$P$126)+(IF(G$112&gt;0,G$112*$H$126,0))+(IF(G$112&gt;0,G$112*$I$126,1))+IF(G$117&gt;5,IF(G$112&gt;0,G$112*$J$126,MAX(G$112*G21*$K$126,$M$126*G21)))</f>
        <v>253415.65599999996</v>
      </c>
      <c r="I22" s="20">
        <f>(I21*$P$126)+(IF(H$112&gt;0,H$112*$H$126,0))+(IF(H$112&gt;0,H$112*$I$126,1))+IF(H$117&gt;5,IF(H$112&gt;0,H$112*$J$126,MAX(H$112*H21*$K$126,$M$126*H21)))</f>
        <v>253415.65599999996</v>
      </c>
      <c r="J22" s="20">
        <f>(J21*$P$126)+(IF(I$112&gt;0,I$112*$H$126,0))+(IF(I$112&gt;0,I$112*$I$126,1))+IF(I$117&gt;5,IF(I$112&gt;0,I$112*$J$126,MAX(I$112*I21*$K$126,$M$126*I21)))</f>
        <v>253415.65599999996</v>
      </c>
      <c r="K22" s="20">
        <f>(K21*$P$126)+(IF(J$112&gt;0,J$112*$H$126,0))+(IF(J$112&gt;0,J$112*$I$126,1))+IF(J$117&gt;5,IF(J$112&gt;0,J$112*$J$126,MAX(J$112*J21*$K$126,$M$126*J21)))</f>
        <v>253415.65599999996</v>
      </c>
      <c r="L22" s="20">
        <f>(L21*$P$126)+(IF(K$112&gt;0,K$112*$H$126,0))+(IF(K$112&gt;0,K$112*$I$126,1))+IF(K$117&gt;5,IF(K$112&gt;0,K$112*$J$126,MAX(K$112*K21*$K$126,$M$126*K21)))</f>
        <v>278453.40922857146</v>
      </c>
      <c r="M22" s="20">
        <f>(M21*$P$126)+(IF(L$112&gt;0,L$112*$H$126,0))+(IF(L$112&gt;0,L$112*$I$126,1))+IF(L$117&gt;5,IF(L$112&gt;0,L$112*$J$126,MAX(L$112*L21*$K$126,$M$126*L21)))</f>
        <v>569023.02164914296</v>
      </c>
      <c r="N22" s="20">
        <f>(N21*$P$126)+(IF(M$112&gt;0,M$112*$H$126,0))+(IF(M$112&gt;0,M$112*$I$126,1))+IF(M$117&gt;5,IF(M$112&gt;0,M$112*$J$126,MAX(M$112*M21*$K$126,$M$126*M21)))</f>
        <v>577827.05994057527</v>
      </c>
      <c r="O22" s="20">
        <f>(O21*$P$126)+(IF(N$112&gt;0,N$112*$H$126,0))+(IF(N$112&gt;0,N$112*$I$126,1))+IF(N$117&gt;5,IF(N$112&gt;0,N$112*$J$126,MAX(N$112*N21*$K$126,$M$126*N21)))</f>
        <v>577298.86972642259</v>
      </c>
      <c r="P22" s="20">
        <f>(P21*$P$126)+(IF(O$112&gt;0,O$112*$H$126,0))+(IF(O$112&gt;0,O$112*$I$126,1))+IF(O$117&gt;5,IF(O$112&gt;0,O$112*$J$126,MAX(O$112*O21*$K$126,$M$126*O21)))</f>
        <v>502075.67129927181</v>
      </c>
      <c r="Q22" s="20">
        <f>(Q21*$P$126)+(IF(P$112&gt;0,P$112*$H$126,0))+(IF(P$112&gt;0,P$112*$I$126,1))+IF(P$117&gt;5,IF(P$112&gt;0,P$112*$J$126,MAX(P$112*P21*$K$126,$M$126*P21)))</f>
        <v>579893.94870462304</v>
      </c>
      <c r="R22" s="20">
        <f>(R21*$P$126)+(IF(Q$112&gt;0,Q$112*$H$126,0))+(IF(Q$112&gt;0,Q$112*$I$126,1))+IF(Q$117&gt;5,IF(Q$112&gt;0,Q$112*$J$126,MAX(Q$112*Q21*$K$126,$M$126*Q21)))</f>
        <v>549961.58928057982</v>
      </c>
      <c r="S22" s="1">
        <f t="shared" si="1"/>
        <v>4901610.8498291867</v>
      </c>
      <c r="W22" s="1">
        <f>S22/V21</f>
        <v>85097.410587312246</v>
      </c>
      <c r="Y22" s="1">
        <f>T22/X21/5*12</f>
        <v>0</v>
      </c>
    </row>
    <row r="23" spans="1:25">
      <c r="B23" t="s">
        <v>171</v>
      </c>
      <c r="G23" s="26">
        <f>$D$124*ROUND($D$119/5,1)*ROUND('JPods Summary'!$F$28/5,1)</f>
        <v>3.84</v>
      </c>
      <c r="H23" s="26">
        <f>$D$124*ROUND($D$119/5,1)*ROUND('JPods Summary'!$F$28/5,1)</f>
        <v>3.84</v>
      </c>
      <c r="I23" s="26">
        <f>$D$124*ROUND($D$119/5,1)*ROUND('JPods Summary'!$F$28/5,1)</f>
        <v>3.84</v>
      </c>
      <c r="J23" s="26">
        <f>$D$124*ROUND($D$119/5,1)*ROUND('JPods Summary'!$F$28/5,1)</f>
        <v>3.84</v>
      </c>
      <c r="K23" s="26">
        <f>$D$124*ROUND($D$119/5,1)*ROUND('JPods Summary'!$F$28/5,1)</f>
        <v>3.84</v>
      </c>
      <c r="L23" s="26">
        <f>$D$124*ROUND($D$119/5,1)*ROUND('JPods Summary'!$F$28/5,1)</f>
        <v>3.84</v>
      </c>
      <c r="M23" s="26">
        <f>$D$124*ROUND($D$119/5,1)*ROUND('JPods Summary'!$F$28/5,1)</f>
        <v>3.84</v>
      </c>
      <c r="N23" s="26">
        <f>$D$124*ROUND($D$119/5,1)*ROUND('JPods Summary'!$F$28/5,1)</f>
        <v>3.84</v>
      </c>
      <c r="O23" s="26">
        <f>$D$124*ROUND($D$119/5,1)*ROUND('JPods Summary'!$F$28/5,1)</f>
        <v>3.84</v>
      </c>
      <c r="P23" s="26">
        <f>$D$124*ROUND($D$119/5,1)*ROUND('JPods Summary'!$F$28/5,1)</f>
        <v>3.84</v>
      </c>
      <c r="Q23" s="26">
        <f>$D$124*ROUND($D$119/5,1)*ROUND('JPods Summary'!$F$28/5,1)</f>
        <v>3.84</v>
      </c>
      <c r="R23" s="26">
        <f>$D$124*ROUND($D$119/5,1)*ROUND('JPods Summary'!$F$28/5,1)</f>
        <v>3.84</v>
      </c>
      <c r="S23" s="1">
        <f>AVERAGE(G23:R23)</f>
        <v>3.8400000000000012</v>
      </c>
      <c r="V23" s="21">
        <f>SUM(G23:R23)/12</f>
        <v>3.8400000000000012</v>
      </c>
      <c r="X23">
        <f>SUM(G23:K23)/5</f>
        <v>3.84</v>
      </c>
    </row>
    <row r="24" spans="1:25">
      <c r="D24" s="2"/>
      <c r="E24" s="2"/>
      <c r="G24" s="1">
        <f>(G23*$P$120)</f>
        <v>16894.310399999998</v>
      </c>
      <c r="H24" s="20">
        <f>(H23*$P$120)+(IF(G$112&gt;0,G$112*$H$120,1))+(IF(G$112&gt;0,G$112*$I$120,0))+IF(G$117&gt;5,IF(G$112&gt;0,G$112*$J$120,MAX(G$112*G23*$K$120,$M$120*G23)))</f>
        <v>16895.310399999998</v>
      </c>
      <c r="I24" s="20">
        <f>(I23*$P$120)+(IF(H$112&gt;0,H$112*$H$120,1))+(IF(H$112&gt;0,H$112*$I$120,0))+IF(H$117&gt;5,IF(H$112&gt;0,H$112*$J$120,MAX(H$112*H23*$K$120,$M$120*H23)))</f>
        <v>16895.310399999998</v>
      </c>
      <c r="J24" s="20">
        <f>(J23*$P$120)+(IF(I$112&gt;0,I$112*$H$120,1))+(IF(I$112&gt;0,I$112*$I$120,0))+IF(I$117&gt;5,IF(I$112&gt;0,I$112*$J$120,MAX(I$112*I23*$K$120,$M$120*I23)))</f>
        <v>16895.310399999998</v>
      </c>
      <c r="K24" s="20">
        <f>(K23*$P$120)+(IF(J$112&gt;0,J$112*$H$120,1))+(IF(J$112&gt;0,J$112*$I$120,0))+IF(J$117&gt;5,IF(J$112&gt;0,J$112*$J$120,MAX(J$112*J23*$K$120,$M$120*J23)))</f>
        <v>16895.310399999998</v>
      </c>
      <c r="L24" s="20">
        <f>(L23*$P$120)+(IF(K$112&gt;0,K$112*$H$120,1))+(IF(K$112&gt;0,K$112*$I$120,0))+IF(K$117&gt;5,IF(K$112&gt;0,K$112*$J$120,MAX(K$112*K23*$K$120,$M$120*K23)))</f>
        <v>41933.063628571443</v>
      </c>
      <c r="M24" s="20">
        <f>(M23*$P$120)+(IF(L$112&gt;0,L$112*$H$120,1))+(IF(L$112&gt;0,L$112*$I$120,0))+IF(L$117&gt;5,IF(L$112&gt;0,L$112*$J$120,MAX(L$112*L23*$K$120,$M$120*L23)))</f>
        <v>332502.67604914296</v>
      </c>
      <c r="N24" s="20">
        <f>(N23*$P$120)+(IF(M$112&gt;0,M$112*$H$120,1))+(IF(M$112&gt;0,M$112*$I$120,0))+IF(M$117&gt;5,IF(M$112&gt;0,M$112*$J$120,MAX(M$112*M23*$K$120,$M$120*M23)))</f>
        <v>341306.71434057527</v>
      </c>
      <c r="O24" s="20">
        <f>(O23*$P$120)+(IF(N$112&gt;0,N$112*$H$120,1))+(IF(N$112&gt;0,N$112*$I$120,0))+IF(N$117&gt;5,IF(N$112&gt;0,N$112*$J$120,MAX(N$112*N23*$K$120,$M$120*N23)))</f>
        <v>340778.52412642265</v>
      </c>
      <c r="P24" s="20">
        <f>(P23*$P$120)+(IF(O$112&gt;0,O$112*$H$120,1))+(IF(O$112&gt;0,O$112*$I$120,0))+IF(O$117&gt;5,IF(O$112&gt;0,O$112*$J$120,MAX(O$112*O23*$K$120,$M$120*O23)))</f>
        <v>265555.32569927187</v>
      </c>
      <c r="Q24" s="20">
        <f>(Q23*$P$120)+(IF(P$112&gt;0,P$112*$H$120,1))+(IF(P$112&gt;0,P$112*$I$120,0))+IF(P$117&gt;5,IF(P$112&gt;0,P$112*$J$120,MAX(P$112*P23*$K$120,$M$120*P23)))</f>
        <v>343373.60310462309</v>
      </c>
      <c r="R24" s="20">
        <f>(R23*$P$120)+(IF(Q$112&gt;0,Q$112*$H$120,1))+(IF(Q$112&gt;0,Q$112*$I$120,0))+IF(Q$117&gt;5,IF(Q$112&gt;0,Q$112*$J$120,MAX(Q$112*Q23*$K$120,$M$120*Q23)))</f>
        <v>313441.24368057982</v>
      </c>
      <c r="S24" s="1">
        <f t="shared" si="1"/>
        <v>2063366.7026291869</v>
      </c>
      <c r="V24" s="21"/>
      <c r="W24" s="1">
        <f>S24/V23</f>
        <v>537335.07880968391</v>
      </c>
      <c r="Y24" s="1">
        <f>T24/X23/5*12</f>
        <v>0</v>
      </c>
    </row>
    <row r="25" spans="1:25">
      <c r="C25" s="24" t="s">
        <v>94</v>
      </c>
      <c r="D25" s="38"/>
      <c r="E25" s="38"/>
      <c r="F25" s="24"/>
      <c r="G25" s="25">
        <f>G14+G16+G18+G19+G22</f>
        <v>755039.23199999984</v>
      </c>
      <c r="H25" s="25">
        <f t="shared" ref="H25:R25" si="4">H14+H16+H18+H19+H22</f>
        <v>755040.23199999984</v>
      </c>
      <c r="I25" s="25">
        <f t="shared" si="4"/>
        <v>755040.23199999984</v>
      </c>
      <c r="J25" s="25">
        <f t="shared" si="4"/>
        <v>755040.23199999984</v>
      </c>
      <c r="K25" s="25">
        <f t="shared" si="4"/>
        <v>755040.23199999984</v>
      </c>
      <c r="L25" s="25">
        <f t="shared" si="4"/>
        <v>855194.24491428584</v>
      </c>
      <c r="M25" s="25">
        <f t="shared" si="4"/>
        <v>2017472.6945965716</v>
      </c>
      <c r="N25" s="25">
        <f t="shared" si="4"/>
        <v>2052688.8477623011</v>
      </c>
      <c r="O25" s="25">
        <f t="shared" si="4"/>
        <v>2050576.0869056904</v>
      </c>
      <c r="P25" s="25">
        <f t="shared" si="4"/>
        <v>1749683.2931970872</v>
      </c>
      <c r="Q25" s="25">
        <f t="shared" si="4"/>
        <v>2060956.4028184921</v>
      </c>
      <c r="R25" s="25">
        <f t="shared" si="4"/>
        <v>1941226.9651223193</v>
      </c>
      <c r="S25" s="14">
        <f t="shared" si="1"/>
        <v>16502998.695316747</v>
      </c>
    </row>
    <row r="26" spans="1:25">
      <c r="C26" s="24" t="s">
        <v>123</v>
      </c>
      <c r="D26" s="38"/>
      <c r="E26" s="38"/>
      <c r="F26" s="24"/>
      <c r="G26" s="25">
        <f>G13+G15+G17+G19+G21+G11</f>
        <v>139.19999999999999</v>
      </c>
      <c r="H26" s="25">
        <f t="shared" ref="H26:R26" si="5">H13+H15+H17+H19+H21+H11</f>
        <v>139.19999999999999</v>
      </c>
      <c r="I26" s="25">
        <f t="shared" si="5"/>
        <v>139.19999999999999</v>
      </c>
      <c r="J26" s="25">
        <f t="shared" si="5"/>
        <v>139.19999999999999</v>
      </c>
      <c r="K26" s="25">
        <f t="shared" si="5"/>
        <v>139.19999999999999</v>
      </c>
      <c r="L26" s="25">
        <f t="shared" si="5"/>
        <v>139.19999999999999</v>
      </c>
      <c r="M26" s="25">
        <f t="shared" si="5"/>
        <v>139.19999999999999</v>
      </c>
      <c r="N26" s="25">
        <f t="shared" si="5"/>
        <v>139.19999999999999</v>
      </c>
      <c r="O26" s="25">
        <f t="shared" si="5"/>
        <v>139.19999999999999</v>
      </c>
      <c r="P26" s="25">
        <f t="shared" si="5"/>
        <v>139.19999999999999</v>
      </c>
      <c r="Q26" s="25">
        <f t="shared" si="5"/>
        <v>139.19999999999999</v>
      </c>
      <c r="R26" s="25">
        <f t="shared" si="5"/>
        <v>139.19999999999999</v>
      </c>
      <c r="S26" s="14"/>
      <c r="X26">
        <f>SUM(X13:X22)</f>
        <v>134.4</v>
      </c>
    </row>
    <row r="27" spans="1:25">
      <c r="C27" s="12"/>
      <c r="D27" s="13"/>
      <c r="E27" s="13"/>
      <c r="F27" s="12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</row>
    <row r="28" spans="1:25" s="9" customFormat="1">
      <c r="A28" s="9" t="s">
        <v>38</v>
      </c>
      <c r="D28" s="10"/>
      <c r="E28" s="10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</row>
    <row r="29" spans="1:25">
      <c r="B29" s="24" t="s">
        <v>142</v>
      </c>
      <c r="C29" s="24"/>
      <c r="D29" s="202">
        <f>$D$131*D139</f>
        <v>4000</v>
      </c>
      <c r="E29" s="120"/>
      <c r="F29" s="12"/>
      <c r="G29" s="25">
        <f>(G17+G11)*$D$29</f>
        <v>134399.99999999997</v>
      </c>
      <c r="H29" s="25">
        <f t="shared" ref="H29:R29" si="6">(H17+H11)*$D$29</f>
        <v>134399.99999999997</v>
      </c>
      <c r="I29" s="25">
        <f t="shared" si="6"/>
        <v>134399.99999999997</v>
      </c>
      <c r="J29" s="25">
        <f t="shared" si="6"/>
        <v>134399.99999999997</v>
      </c>
      <c r="K29" s="25">
        <f t="shared" si="6"/>
        <v>134399.99999999997</v>
      </c>
      <c r="L29" s="25">
        <f t="shared" si="6"/>
        <v>134399.99999999997</v>
      </c>
      <c r="M29" s="25">
        <f t="shared" si="6"/>
        <v>134399.99999999997</v>
      </c>
      <c r="N29" s="25">
        <f t="shared" si="6"/>
        <v>134399.99999999997</v>
      </c>
      <c r="O29" s="25">
        <f t="shared" si="6"/>
        <v>134399.99999999997</v>
      </c>
      <c r="P29" s="25">
        <f t="shared" si="6"/>
        <v>134399.99999999997</v>
      </c>
      <c r="Q29" s="25">
        <f t="shared" si="6"/>
        <v>134399.99999999997</v>
      </c>
      <c r="R29" s="25">
        <f t="shared" si="6"/>
        <v>134399.99999999997</v>
      </c>
      <c r="S29" s="1">
        <f t="shared" ref="S29:S38" si="7">SUM(G29:R29)</f>
        <v>1612799.9999999998</v>
      </c>
    </row>
    <row r="30" spans="1:25">
      <c r="B30" s="24" t="s">
        <v>87</v>
      </c>
      <c r="C30" s="24"/>
      <c r="D30" s="202">
        <f t="shared" ref="D30:D32" si="8">$D$131*D140</f>
        <v>6000</v>
      </c>
      <c r="E30" s="120"/>
      <c r="F30" s="12"/>
      <c r="G30" s="25">
        <f>D30/12</f>
        <v>500</v>
      </c>
      <c r="H30" s="25">
        <f t="shared" ref="H30:R30" si="9">E30/12</f>
        <v>0</v>
      </c>
      <c r="I30" s="25">
        <f t="shared" si="9"/>
        <v>0</v>
      </c>
      <c r="J30" s="25">
        <f t="shared" si="9"/>
        <v>41.666666666666664</v>
      </c>
      <c r="K30" s="25">
        <f t="shared" si="9"/>
        <v>0</v>
      </c>
      <c r="L30" s="25">
        <f t="shared" si="9"/>
        <v>0</v>
      </c>
      <c r="M30" s="25">
        <f t="shared" si="9"/>
        <v>3.4722222222222219</v>
      </c>
      <c r="N30" s="25">
        <f t="shared" si="9"/>
        <v>0</v>
      </c>
      <c r="O30" s="25">
        <f t="shared" si="9"/>
        <v>0</v>
      </c>
      <c r="P30" s="25">
        <f t="shared" si="9"/>
        <v>0.2893518518518518</v>
      </c>
      <c r="Q30" s="25">
        <f t="shared" si="9"/>
        <v>0</v>
      </c>
      <c r="R30" s="25">
        <f t="shared" si="9"/>
        <v>0</v>
      </c>
      <c r="S30" s="1">
        <f t="shared" si="7"/>
        <v>545.42824074074065</v>
      </c>
    </row>
    <row r="31" spans="1:25">
      <c r="B31" s="24" t="s">
        <v>151</v>
      </c>
      <c r="C31" s="24"/>
      <c r="D31" s="202">
        <f t="shared" si="8"/>
        <v>350</v>
      </c>
      <c r="E31" s="120"/>
      <c r="F31" s="12" t="s">
        <v>153</v>
      </c>
      <c r="G31" s="25">
        <f>G8*$D$31</f>
        <v>48719.999999999993</v>
      </c>
      <c r="H31" s="25">
        <f t="shared" ref="H31:R31" si="10">H8*$D$31</f>
        <v>48719.999999999993</v>
      </c>
      <c r="I31" s="25">
        <f t="shared" si="10"/>
        <v>48719.999999999993</v>
      </c>
      <c r="J31" s="25">
        <f t="shared" si="10"/>
        <v>48719.999999999993</v>
      </c>
      <c r="K31" s="25">
        <f t="shared" si="10"/>
        <v>48719.999999999993</v>
      </c>
      <c r="L31" s="25">
        <f t="shared" si="10"/>
        <v>48719.999999999993</v>
      </c>
      <c r="M31" s="25">
        <f t="shared" si="10"/>
        <v>48719.999999999993</v>
      </c>
      <c r="N31" s="25">
        <f t="shared" si="10"/>
        <v>48719.999999999993</v>
      </c>
      <c r="O31" s="25">
        <f t="shared" si="10"/>
        <v>48719.999999999993</v>
      </c>
      <c r="P31" s="25">
        <f t="shared" si="10"/>
        <v>48719.999999999993</v>
      </c>
      <c r="Q31" s="25">
        <f t="shared" si="10"/>
        <v>48719.999999999993</v>
      </c>
      <c r="R31" s="25">
        <f t="shared" si="10"/>
        <v>48719.999999999993</v>
      </c>
      <c r="S31" s="1">
        <f t="shared" si="7"/>
        <v>584639.99999999988</v>
      </c>
    </row>
    <row r="32" spans="1:25">
      <c r="B32" s="24" t="s">
        <v>152</v>
      </c>
      <c r="C32" s="24"/>
      <c r="D32" s="202">
        <f t="shared" si="8"/>
        <v>300</v>
      </c>
      <c r="E32" s="121"/>
      <c r="F32" s="145">
        <v>0.3</v>
      </c>
      <c r="G32" s="25">
        <f>G8*$D$32*$F$32</f>
        <v>12528</v>
      </c>
      <c r="H32" s="25">
        <f t="shared" ref="H32:R32" si="11">H8*$D$32*$F$32</f>
        <v>12528</v>
      </c>
      <c r="I32" s="25">
        <f t="shared" si="11"/>
        <v>12528</v>
      </c>
      <c r="J32" s="25">
        <f t="shared" si="11"/>
        <v>12528</v>
      </c>
      <c r="K32" s="25">
        <f t="shared" si="11"/>
        <v>12528</v>
      </c>
      <c r="L32" s="25">
        <f t="shared" si="11"/>
        <v>12528</v>
      </c>
      <c r="M32" s="25">
        <f t="shared" si="11"/>
        <v>12528</v>
      </c>
      <c r="N32" s="25">
        <f t="shared" si="11"/>
        <v>12528</v>
      </c>
      <c r="O32" s="25">
        <f t="shared" si="11"/>
        <v>12528</v>
      </c>
      <c r="P32" s="25">
        <f t="shared" si="11"/>
        <v>12528</v>
      </c>
      <c r="Q32" s="25">
        <f t="shared" si="11"/>
        <v>12528</v>
      </c>
      <c r="R32" s="25">
        <f t="shared" si="11"/>
        <v>12528</v>
      </c>
      <c r="S32" s="1">
        <f t="shared" si="7"/>
        <v>150336</v>
      </c>
    </row>
    <row r="33" spans="1:20">
      <c r="B33" s="24" t="s">
        <v>148</v>
      </c>
      <c r="C33" s="24"/>
      <c r="D33" s="146">
        <v>0.1</v>
      </c>
      <c r="E33" s="121"/>
      <c r="F33" s="202">
        <f t="shared" ref="F33:F34" si="12">$D$131*F143</f>
        <v>200</v>
      </c>
      <c r="G33" s="25">
        <f>G26*$F$33*$D$33</f>
        <v>2784</v>
      </c>
      <c r="H33" s="25">
        <f t="shared" ref="H33:R33" si="13">H26*$F$33*$D$33</f>
        <v>2784</v>
      </c>
      <c r="I33" s="25">
        <f t="shared" si="13"/>
        <v>2784</v>
      </c>
      <c r="J33" s="25">
        <f t="shared" si="13"/>
        <v>2784</v>
      </c>
      <c r="K33" s="25">
        <f t="shared" si="13"/>
        <v>2784</v>
      </c>
      <c r="L33" s="25">
        <f t="shared" si="13"/>
        <v>2784</v>
      </c>
      <c r="M33" s="25">
        <f t="shared" si="13"/>
        <v>2784</v>
      </c>
      <c r="N33" s="25">
        <f t="shared" si="13"/>
        <v>2784</v>
      </c>
      <c r="O33" s="25">
        <f t="shared" si="13"/>
        <v>2784</v>
      </c>
      <c r="P33" s="25">
        <f t="shared" si="13"/>
        <v>2784</v>
      </c>
      <c r="Q33" s="25">
        <f t="shared" si="13"/>
        <v>2784</v>
      </c>
      <c r="R33" s="25">
        <f t="shared" si="13"/>
        <v>2784</v>
      </c>
      <c r="S33" s="1">
        <f t="shared" si="7"/>
        <v>33408</v>
      </c>
    </row>
    <row r="34" spans="1:20">
      <c r="B34" s="24" t="s">
        <v>17</v>
      </c>
      <c r="C34" s="24"/>
      <c r="D34" s="147">
        <v>0.08</v>
      </c>
      <c r="E34" s="122"/>
      <c r="F34" s="202">
        <f t="shared" si="12"/>
        <v>200</v>
      </c>
      <c r="G34" s="25">
        <f>G26*$F$34*$D$34</f>
        <v>2227.1999999999998</v>
      </c>
      <c r="H34" s="25">
        <f t="shared" ref="H34:R34" si="14">H26*$F$34*$D$34</f>
        <v>2227.1999999999998</v>
      </c>
      <c r="I34" s="25">
        <f t="shared" si="14"/>
        <v>2227.1999999999998</v>
      </c>
      <c r="J34" s="25">
        <f t="shared" si="14"/>
        <v>2227.1999999999998</v>
      </c>
      <c r="K34" s="25">
        <f t="shared" si="14"/>
        <v>2227.1999999999998</v>
      </c>
      <c r="L34" s="25">
        <f t="shared" si="14"/>
        <v>2227.1999999999998</v>
      </c>
      <c r="M34" s="25">
        <f t="shared" si="14"/>
        <v>2227.1999999999998</v>
      </c>
      <c r="N34" s="25">
        <f t="shared" si="14"/>
        <v>2227.1999999999998</v>
      </c>
      <c r="O34" s="25">
        <f t="shared" si="14"/>
        <v>2227.1999999999998</v>
      </c>
      <c r="P34" s="25">
        <f t="shared" si="14"/>
        <v>2227.1999999999998</v>
      </c>
      <c r="Q34" s="25">
        <f t="shared" si="14"/>
        <v>2227.1999999999998</v>
      </c>
      <c r="R34" s="25">
        <f t="shared" si="14"/>
        <v>2227.1999999999998</v>
      </c>
      <c r="S34" s="1">
        <f t="shared" si="7"/>
        <v>26726.400000000005</v>
      </c>
    </row>
    <row r="35" spans="1:20" ht="12" customHeight="1">
      <c r="B35" s="24" t="s">
        <v>147</v>
      </c>
      <c r="C35" s="24"/>
      <c r="D35" s="146">
        <v>0.1</v>
      </c>
      <c r="E35" s="13"/>
      <c r="F35" s="12" t="s">
        <v>154</v>
      </c>
      <c r="G35" s="25">
        <f>G34*$D$35</f>
        <v>222.72</v>
      </c>
      <c r="H35" s="25">
        <f t="shared" ref="H35:R35" si="15">H34*$D$35</f>
        <v>222.72</v>
      </c>
      <c r="I35" s="25">
        <f t="shared" si="15"/>
        <v>222.72</v>
      </c>
      <c r="J35" s="25">
        <f t="shared" si="15"/>
        <v>222.72</v>
      </c>
      <c r="K35" s="25">
        <f t="shared" si="15"/>
        <v>222.72</v>
      </c>
      <c r="L35" s="25">
        <f t="shared" si="15"/>
        <v>222.72</v>
      </c>
      <c r="M35" s="25">
        <f t="shared" si="15"/>
        <v>222.72</v>
      </c>
      <c r="N35" s="25">
        <f t="shared" si="15"/>
        <v>222.72</v>
      </c>
      <c r="O35" s="25">
        <f t="shared" si="15"/>
        <v>222.72</v>
      </c>
      <c r="P35" s="25">
        <f t="shared" si="15"/>
        <v>222.72</v>
      </c>
      <c r="Q35" s="25">
        <f t="shared" si="15"/>
        <v>222.72</v>
      </c>
      <c r="R35" s="25">
        <f t="shared" si="15"/>
        <v>222.72</v>
      </c>
      <c r="S35" s="1">
        <f t="shared" si="7"/>
        <v>2672.6399999999994</v>
      </c>
      <c r="T35"/>
    </row>
    <row r="36" spans="1:20">
      <c r="B36" s="24" t="s">
        <v>149</v>
      </c>
      <c r="C36" s="24"/>
      <c r="D36" s="202">
        <f>$D$131*D146</f>
        <v>50</v>
      </c>
      <c r="E36" s="123"/>
      <c r="F36" s="12" t="s">
        <v>153</v>
      </c>
      <c r="G36" s="25">
        <f>G26*$D$36</f>
        <v>6959.9999999999991</v>
      </c>
      <c r="H36" s="25">
        <f t="shared" ref="H36:R36" si="16">H26*$D$36</f>
        <v>6959.9999999999991</v>
      </c>
      <c r="I36" s="25">
        <f t="shared" si="16"/>
        <v>6959.9999999999991</v>
      </c>
      <c r="J36" s="25">
        <f t="shared" si="16"/>
        <v>6959.9999999999991</v>
      </c>
      <c r="K36" s="25">
        <f t="shared" si="16"/>
        <v>6959.9999999999991</v>
      </c>
      <c r="L36" s="25">
        <f t="shared" si="16"/>
        <v>6959.9999999999991</v>
      </c>
      <c r="M36" s="25">
        <f t="shared" si="16"/>
        <v>6959.9999999999991</v>
      </c>
      <c r="N36" s="25">
        <f t="shared" si="16"/>
        <v>6959.9999999999991</v>
      </c>
      <c r="O36" s="25">
        <f t="shared" si="16"/>
        <v>6959.9999999999991</v>
      </c>
      <c r="P36" s="25">
        <f t="shared" si="16"/>
        <v>6959.9999999999991</v>
      </c>
      <c r="Q36" s="25">
        <f t="shared" si="16"/>
        <v>6959.9999999999991</v>
      </c>
      <c r="R36" s="25">
        <f t="shared" si="16"/>
        <v>6959.9999999999991</v>
      </c>
      <c r="S36" s="1">
        <f t="shared" si="7"/>
        <v>83519.999999999985</v>
      </c>
      <c r="T36"/>
    </row>
    <row r="37" spans="1:20">
      <c r="B37" s="24" t="s">
        <v>18</v>
      </c>
      <c r="C37" s="24"/>
      <c r="D37" s="202">
        <f t="shared" ref="D37:D38" si="17">$D$131*D147</f>
        <v>2800</v>
      </c>
      <c r="E37" s="123"/>
      <c r="F37" s="12"/>
      <c r="G37" s="25">
        <f>IF((G26-F26)&gt;0,(G26-F26)*$D$37,0)</f>
        <v>389759.99999999994</v>
      </c>
      <c r="H37" s="25">
        <f t="shared" ref="H37:R37" si="18">IF((H26-G26)&gt;0,(H26-G26)*$D$37,0)</f>
        <v>0</v>
      </c>
      <c r="I37" s="25">
        <f t="shared" si="18"/>
        <v>0</v>
      </c>
      <c r="J37" s="25">
        <f t="shared" si="18"/>
        <v>0</v>
      </c>
      <c r="K37" s="25">
        <f t="shared" si="18"/>
        <v>0</v>
      </c>
      <c r="L37" s="25">
        <f t="shared" si="18"/>
        <v>0</v>
      </c>
      <c r="M37" s="25">
        <f t="shared" si="18"/>
        <v>0</v>
      </c>
      <c r="N37" s="25">
        <f t="shared" si="18"/>
        <v>0</v>
      </c>
      <c r="O37" s="25">
        <f t="shared" si="18"/>
        <v>0</v>
      </c>
      <c r="P37" s="25">
        <f t="shared" si="18"/>
        <v>0</v>
      </c>
      <c r="Q37" s="25">
        <f t="shared" si="18"/>
        <v>0</v>
      </c>
      <c r="R37" s="25">
        <f t="shared" si="18"/>
        <v>0</v>
      </c>
      <c r="S37" s="1">
        <f t="shared" si="7"/>
        <v>389759.99999999994</v>
      </c>
      <c r="T37"/>
    </row>
    <row r="38" spans="1:20">
      <c r="B38" s="24" t="s">
        <v>144</v>
      </c>
      <c r="C38" s="24"/>
      <c r="D38" s="202">
        <f t="shared" si="17"/>
        <v>60</v>
      </c>
      <c r="E38" s="124"/>
      <c r="F38" s="12"/>
      <c r="G38" s="25">
        <f>G26*$D$38</f>
        <v>8352</v>
      </c>
      <c r="H38" s="25">
        <f t="shared" ref="H38:R38" si="19">H26*$D$38</f>
        <v>8352</v>
      </c>
      <c r="I38" s="25">
        <f t="shared" si="19"/>
        <v>8352</v>
      </c>
      <c r="J38" s="25">
        <f t="shared" si="19"/>
        <v>8352</v>
      </c>
      <c r="K38" s="25">
        <f t="shared" si="19"/>
        <v>8352</v>
      </c>
      <c r="L38" s="25">
        <f t="shared" si="19"/>
        <v>8352</v>
      </c>
      <c r="M38" s="25">
        <f t="shared" si="19"/>
        <v>8352</v>
      </c>
      <c r="N38" s="25">
        <f t="shared" si="19"/>
        <v>8352</v>
      </c>
      <c r="O38" s="25">
        <f t="shared" si="19"/>
        <v>8352</v>
      </c>
      <c r="P38" s="25">
        <f t="shared" si="19"/>
        <v>8352</v>
      </c>
      <c r="Q38" s="25">
        <f t="shared" si="19"/>
        <v>8352</v>
      </c>
      <c r="R38" s="25">
        <f t="shared" si="19"/>
        <v>8352</v>
      </c>
      <c r="S38" s="1">
        <f t="shared" si="7"/>
        <v>100224</v>
      </c>
      <c r="T38"/>
    </row>
    <row r="39" spans="1:20">
      <c r="B39" s="24"/>
      <c r="C39" s="24"/>
      <c r="D39" s="124"/>
      <c r="E39" s="124"/>
      <c r="F39" s="12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T39"/>
    </row>
    <row r="40" spans="1:20">
      <c r="B40" s="24" t="s">
        <v>23</v>
      </c>
      <c r="C40" s="24"/>
      <c r="D40" s="3">
        <f>D53*E40</f>
        <v>9484487.9245714247</v>
      </c>
      <c r="E40" s="149">
        <f>'JPods Summary'!G22</f>
        <v>0.06</v>
      </c>
      <c r="F40" s="12"/>
      <c r="G40" s="25">
        <f>$D$40/12</f>
        <v>790373.99371428543</v>
      </c>
      <c r="H40" s="25">
        <f t="shared" ref="H40:R40" si="20">$D$40/12</f>
        <v>790373.99371428543</v>
      </c>
      <c r="I40" s="25">
        <f t="shared" si="20"/>
        <v>790373.99371428543</v>
      </c>
      <c r="J40" s="25">
        <f t="shared" si="20"/>
        <v>790373.99371428543</v>
      </c>
      <c r="K40" s="25">
        <f t="shared" si="20"/>
        <v>790373.99371428543</v>
      </c>
      <c r="L40" s="25">
        <f t="shared" si="20"/>
        <v>790373.99371428543</v>
      </c>
      <c r="M40" s="25">
        <f t="shared" si="20"/>
        <v>790373.99371428543</v>
      </c>
      <c r="N40" s="25">
        <f t="shared" si="20"/>
        <v>790373.99371428543</v>
      </c>
      <c r="O40" s="25">
        <f t="shared" si="20"/>
        <v>790373.99371428543</v>
      </c>
      <c r="P40" s="25">
        <f t="shared" si="20"/>
        <v>790373.99371428543</v>
      </c>
      <c r="Q40" s="25">
        <f t="shared" si="20"/>
        <v>790373.99371428543</v>
      </c>
      <c r="R40" s="25">
        <f t="shared" si="20"/>
        <v>790373.99371428543</v>
      </c>
      <c r="S40" s="1">
        <f>SUM(G40:R40)</f>
        <v>9484487.9245714247</v>
      </c>
      <c r="T40"/>
    </row>
    <row r="41" spans="1:20">
      <c r="A41" s="12"/>
      <c r="B41" s="24" t="s">
        <v>489</v>
      </c>
      <c r="C41" s="24"/>
      <c r="D41" s="148">
        <f>D53/20</f>
        <v>7903739.9371428546</v>
      </c>
      <c r="E41" s="124"/>
      <c r="F41" s="12"/>
      <c r="G41" s="25">
        <f>$D$41/12</f>
        <v>658644.99476190459</v>
      </c>
      <c r="H41" s="25">
        <f t="shared" ref="H41:R41" si="21">$D$41/12</f>
        <v>658644.99476190459</v>
      </c>
      <c r="I41" s="25">
        <f t="shared" si="21"/>
        <v>658644.99476190459</v>
      </c>
      <c r="J41" s="25">
        <f t="shared" si="21"/>
        <v>658644.99476190459</v>
      </c>
      <c r="K41" s="25">
        <f t="shared" si="21"/>
        <v>658644.99476190459</v>
      </c>
      <c r="L41" s="25">
        <f t="shared" si="21"/>
        <v>658644.99476190459</v>
      </c>
      <c r="M41" s="25">
        <f t="shared" si="21"/>
        <v>658644.99476190459</v>
      </c>
      <c r="N41" s="25">
        <f t="shared" si="21"/>
        <v>658644.99476190459</v>
      </c>
      <c r="O41" s="25">
        <f t="shared" si="21"/>
        <v>658644.99476190459</v>
      </c>
      <c r="P41" s="25">
        <f t="shared" si="21"/>
        <v>658644.99476190459</v>
      </c>
      <c r="Q41" s="25">
        <f t="shared" si="21"/>
        <v>658644.99476190459</v>
      </c>
      <c r="R41" s="25">
        <f t="shared" si="21"/>
        <v>658644.99476190459</v>
      </c>
      <c r="S41" s="1">
        <f>SUM(G41:R41)</f>
        <v>7903739.9371428555</v>
      </c>
      <c r="T41"/>
    </row>
    <row r="42" spans="1:20">
      <c r="A42" s="12"/>
      <c r="B42" s="24"/>
      <c r="C42" s="24" t="s">
        <v>38</v>
      </c>
      <c r="D42" s="124"/>
      <c r="E42" s="124"/>
      <c r="F42" s="12"/>
      <c r="G42" s="25">
        <f>SUM(G29:G41)</f>
        <v>2055472.9084761902</v>
      </c>
      <c r="H42" s="25">
        <f t="shared" ref="H42:R42" si="22">SUM(H29:H41)</f>
        <v>1665212.9084761902</v>
      </c>
      <c r="I42" s="25">
        <f t="shared" si="22"/>
        <v>1665212.9084761902</v>
      </c>
      <c r="J42" s="25">
        <f t="shared" si="22"/>
        <v>1665254.5751428567</v>
      </c>
      <c r="K42" s="25">
        <f t="shared" si="22"/>
        <v>1665212.9084761902</v>
      </c>
      <c r="L42" s="25">
        <f t="shared" si="22"/>
        <v>1665212.9084761902</v>
      </c>
      <c r="M42" s="25">
        <f t="shared" si="22"/>
        <v>1665216.3806984122</v>
      </c>
      <c r="N42" s="25">
        <f t="shared" si="22"/>
        <v>1665212.9084761902</v>
      </c>
      <c r="O42" s="25">
        <f t="shared" si="22"/>
        <v>1665212.9084761902</v>
      </c>
      <c r="P42" s="25">
        <f t="shared" si="22"/>
        <v>1665213.1978280419</v>
      </c>
      <c r="Q42" s="25">
        <f t="shared" si="22"/>
        <v>1665212.9084761902</v>
      </c>
      <c r="R42" s="25">
        <f t="shared" si="22"/>
        <v>1665212.9084761902</v>
      </c>
      <c r="S42" s="1">
        <f>SUM(G42:R42)</f>
        <v>20372860.329955023</v>
      </c>
      <c r="T42"/>
    </row>
    <row r="43" spans="1:20">
      <c r="D43" s="13"/>
      <c r="E43" s="13"/>
      <c r="F43" s="152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T43"/>
    </row>
    <row r="44" spans="1:20">
      <c r="B44" s="176" t="s">
        <v>232</v>
      </c>
      <c r="C44" s="176"/>
      <c r="D44" s="156">
        <f>System!G49</f>
        <v>1250000</v>
      </c>
      <c r="E44" s="13"/>
      <c r="F44" s="12"/>
      <c r="G44" s="179">
        <f>D44</f>
        <v>1250000</v>
      </c>
      <c r="H44" s="177">
        <v>0</v>
      </c>
      <c r="I44" s="177">
        <v>0</v>
      </c>
      <c r="J44" s="177">
        <v>0</v>
      </c>
      <c r="K44" s="177">
        <v>0</v>
      </c>
      <c r="L44" s="177">
        <v>0</v>
      </c>
      <c r="M44" s="177">
        <v>0</v>
      </c>
      <c r="N44" s="177">
        <v>0</v>
      </c>
      <c r="O44" s="177">
        <v>0</v>
      </c>
      <c r="P44" s="177">
        <v>0</v>
      </c>
      <c r="Q44" s="177">
        <v>0</v>
      </c>
      <c r="R44" s="177">
        <v>0</v>
      </c>
      <c r="S44" s="14">
        <f t="shared" ref="S44:S53" si="23">SUM(G44:R44)</f>
        <v>1250000</v>
      </c>
      <c r="T44"/>
    </row>
    <row r="45" spans="1:20">
      <c r="B45" s="176" t="s">
        <v>88</v>
      </c>
      <c r="C45" s="176"/>
      <c r="D45" s="157">
        <f>System!G35</f>
        <v>19741440.000000004</v>
      </c>
      <c r="E45" s="123"/>
      <c r="F45" s="12"/>
      <c r="G45" s="179">
        <f>D45/2</f>
        <v>9870720.0000000019</v>
      </c>
      <c r="H45" s="177">
        <f>D45/2</f>
        <v>9870720.0000000019</v>
      </c>
      <c r="I45" s="177">
        <v>0</v>
      </c>
      <c r="J45" s="177">
        <v>0</v>
      </c>
      <c r="K45" s="177">
        <v>0</v>
      </c>
      <c r="L45" s="177">
        <v>0</v>
      </c>
      <c r="M45" s="177">
        <v>0</v>
      </c>
      <c r="N45" s="177">
        <v>0</v>
      </c>
      <c r="O45" s="177">
        <v>0</v>
      </c>
      <c r="P45" s="177">
        <v>0</v>
      </c>
      <c r="Q45" s="177">
        <v>0</v>
      </c>
      <c r="R45" s="177">
        <v>0</v>
      </c>
      <c r="S45" s="14">
        <f t="shared" si="23"/>
        <v>19741440.000000004</v>
      </c>
      <c r="T45"/>
    </row>
    <row r="46" spans="1:20" ht="12" customHeight="1">
      <c r="B46" s="176" t="s">
        <v>62</v>
      </c>
      <c r="C46" s="176"/>
      <c r="D46" s="157">
        <f>System!F40</f>
        <v>202661.14285714284</v>
      </c>
      <c r="E46" s="13"/>
      <c r="F46" s="12"/>
      <c r="G46" s="179">
        <f>D46</f>
        <v>202661.14285714284</v>
      </c>
      <c r="H46" s="177">
        <v>0</v>
      </c>
      <c r="I46" s="177">
        <v>0</v>
      </c>
      <c r="J46" s="177">
        <v>0</v>
      </c>
      <c r="K46" s="177">
        <v>0</v>
      </c>
      <c r="L46" s="177">
        <v>0</v>
      </c>
      <c r="M46" s="177">
        <v>0</v>
      </c>
      <c r="N46" s="177">
        <v>0</v>
      </c>
      <c r="O46" s="177">
        <v>0</v>
      </c>
      <c r="P46" s="177">
        <v>0</v>
      </c>
      <c r="Q46" s="177">
        <v>0</v>
      </c>
      <c r="R46" s="177">
        <v>0</v>
      </c>
      <c r="S46" s="14">
        <f t="shared" si="23"/>
        <v>202661.14285714284</v>
      </c>
      <c r="T46"/>
    </row>
    <row r="47" spans="1:20" ht="12" customHeight="1">
      <c r="B47" s="176" t="s">
        <v>331</v>
      </c>
      <c r="C47" s="176"/>
      <c r="D47" s="157">
        <f>System!G10</f>
        <v>45693248</v>
      </c>
      <c r="E47" s="13"/>
      <c r="F47" s="12"/>
      <c r="G47" s="180">
        <f>$D$47/12</f>
        <v>3807770.6666666665</v>
      </c>
      <c r="H47" s="180">
        <f t="shared" ref="H47:R47" si="24">$D$47/12</f>
        <v>3807770.6666666665</v>
      </c>
      <c r="I47" s="180">
        <f t="shared" si="24"/>
        <v>3807770.6666666665</v>
      </c>
      <c r="J47" s="180">
        <f t="shared" si="24"/>
        <v>3807770.6666666665</v>
      </c>
      <c r="K47" s="180">
        <f t="shared" si="24"/>
        <v>3807770.6666666665</v>
      </c>
      <c r="L47" s="180">
        <f t="shared" si="24"/>
        <v>3807770.6666666665</v>
      </c>
      <c r="M47" s="180">
        <f t="shared" si="24"/>
        <v>3807770.6666666665</v>
      </c>
      <c r="N47" s="180">
        <f t="shared" si="24"/>
        <v>3807770.6666666665</v>
      </c>
      <c r="O47" s="180">
        <f t="shared" si="24"/>
        <v>3807770.6666666665</v>
      </c>
      <c r="P47" s="180">
        <f t="shared" si="24"/>
        <v>3807770.6666666665</v>
      </c>
      <c r="Q47" s="180">
        <f t="shared" si="24"/>
        <v>3807770.6666666665</v>
      </c>
      <c r="R47" s="180">
        <f t="shared" si="24"/>
        <v>3807770.6666666665</v>
      </c>
      <c r="S47" s="14">
        <f t="shared" si="23"/>
        <v>45693247.999999993</v>
      </c>
      <c r="T47"/>
    </row>
    <row r="48" spans="1:20" ht="12" customHeight="1">
      <c r="B48" s="176" t="s">
        <v>332</v>
      </c>
      <c r="C48" s="176"/>
      <c r="D48" s="157">
        <f>System!F39</f>
        <v>53760000</v>
      </c>
      <c r="E48" s="13"/>
      <c r="F48" s="12"/>
      <c r="G48" s="176">
        <v>0</v>
      </c>
      <c r="H48" s="177">
        <f>$D$48/4</f>
        <v>13440000</v>
      </c>
      <c r="I48" s="177">
        <f>$D$48/4</f>
        <v>13440000</v>
      </c>
      <c r="J48" s="177">
        <f>$D$48/4</f>
        <v>13440000</v>
      </c>
      <c r="K48" s="177">
        <f>$D$48/4</f>
        <v>13440000</v>
      </c>
      <c r="L48" s="177">
        <v>0</v>
      </c>
      <c r="M48" s="177">
        <v>0</v>
      </c>
      <c r="N48" s="177">
        <v>0</v>
      </c>
      <c r="O48" s="177">
        <v>0</v>
      </c>
      <c r="P48" s="177">
        <v>0</v>
      </c>
      <c r="Q48" s="177">
        <v>0</v>
      </c>
      <c r="R48" s="177">
        <v>0</v>
      </c>
      <c r="S48" s="14">
        <f t="shared" si="23"/>
        <v>53760000</v>
      </c>
      <c r="T48"/>
    </row>
    <row r="49" spans="1:31" ht="12" customHeight="1">
      <c r="B49" s="176" t="s">
        <v>333</v>
      </c>
      <c r="C49" s="176"/>
      <c r="D49" s="157">
        <f>System!G26</f>
        <v>14471999.999999998</v>
      </c>
      <c r="E49" s="13"/>
      <c r="F49" s="12"/>
      <c r="G49" s="180">
        <f>D49/2</f>
        <v>7235999.9999999991</v>
      </c>
      <c r="H49" s="180">
        <f>D49/2</f>
        <v>7235999.9999999991</v>
      </c>
      <c r="I49" s="177">
        <v>0</v>
      </c>
      <c r="J49" s="177">
        <v>0</v>
      </c>
      <c r="K49" s="177">
        <v>0</v>
      </c>
      <c r="L49" s="177">
        <v>0</v>
      </c>
      <c r="M49" s="177">
        <v>0</v>
      </c>
      <c r="N49" s="177">
        <v>0</v>
      </c>
      <c r="O49" s="177">
        <v>0</v>
      </c>
      <c r="P49" s="177">
        <v>0</v>
      </c>
      <c r="Q49" s="177">
        <v>0</v>
      </c>
      <c r="R49" s="177">
        <v>0</v>
      </c>
      <c r="S49" s="14">
        <f t="shared" si="23"/>
        <v>14471999.999999998</v>
      </c>
      <c r="T49"/>
    </row>
    <row r="50" spans="1:31">
      <c r="B50" s="176" t="s">
        <v>236</v>
      </c>
      <c r="C50" s="176"/>
      <c r="D50" s="157">
        <f>F50*D47</f>
        <v>9138649.5999999996</v>
      </c>
      <c r="E50" s="13"/>
      <c r="F50" s="151">
        <v>0.2</v>
      </c>
      <c r="G50" s="179">
        <f>D50/2</f>
        <v>4569324.8</v>
      </c>
      <c r="H50" s="179">
        <f>D50/2</f>
        <v>4569324.8</v>
      </c>
      <c r="I50" s="177">
        <v>0</v>
      </c>
      <c r="J50" s="177">
        <v>0</v>
      </c>
      <c r="K50" s="177">
        <v>0</v>
      </c>
      <c r="L50" s="177">
        <v>0</v>
      </c>
      <c r="M50" s="177">
        <v>0</v>
      </c>
      <c r="N50" s="177">
        <v>0</v>
      </c>
      <c r="O50" s="177">
        <v>0</v>
      </c>
      <c r="P50" s="177">
        <v>0</v>
      </c>
      <c r="Q50" s="177">
        <v>0</v>
      </c>
      <c r="R50" s="177">
        <v>0</v>
      </c>
      <c r="S50" s="14">
        <f t="shared" si="23"/>
        <v>9138649.5999999996</v>
      </c>
      <c r="T50"/>
    </row>
    <row r="51" spans="1:31">
      <c r="B51" s="176" t="s">
        <v>334</v>
      </c>
      <c r="C51" s="176"/>
      <c r="D51" s="157">
        <f>System!G17</f>
        <v>13816800</v>
      </c>
      <c r="E51" s="13"/>
      <c r="F51" s="13"/>
      <c r="G51" s="179">
        <f>D51/2</f>
        <v>6908400</v>
      </c>
      <c r="H51" s="179">
        <f>D51/2</f>
        <v>6908400</v>
      </c>
      <c r="I51" s="177">
        <v>0</v>
      </c>
      <c r="J51" s="177">
        <v>0</v>
      </c>
      <c r="K51" s="177">
        <v>0</v>
      </c>
      <c r="L51" s="177">
        <v>0</v>
      </c>
      <c r="M51" s="177">
        <v>0</v>
      </c>
      <c r="N51" s="177">
        <v>0</v>
      </c>
      <c r="O51" s="177">
        <v>0</v>
      </c>
      <c r="P51" s="177">
        <v>0</v>
      </c>
      <c r="Q51" s="177">
        <v>0</v>
      </c>
      <c r="R51" s="177">
        <v>0</v>
      </c>
      <c r="S51" s="14">
        <f t="shared" si="23"/>
        <v>13816800</v>
      </c>
    </row>
    <row r="52" spans="1:31">
      <c r="D52" s="8"/>
      <c r="E52" s="8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4"/>
    </row>
    <row r="53" spans="1:31">
      <c r="C53" t="s">
        <v>117</v>
      </c>
      <c r="D53" s="1">
        <f>S53</f>
        <v>158074798.7428571</v>
      </c>
      <c r="G53" s="1">
        <f>SUM(G44:G51)</f>
        <v>33844876.60952381</v>
      </c>
      <c r="H53" s="1">
        <f>SUM(H44:H51)</f>
        <v>45832215.466666661</v>
      </c>
      <c r="I53" s="1">
        <f>SUM(I44:I51)</f>
        <v>17247770.666666668</v>
      </c>
      <c r="J53" s="1">
        <f>SUM(J44:J51)</f>
        <v>17247770.666666668</v>
      </c>
      <c r="K53" s="1">
        <f>SUM(K44:K51)</f>
        <v>17247770.666666668</v>
      </c>
      <c r="L53" s="1">
        <f>SUM(L44:L51)</f>
        <v>3807770.6666666665</v>
      </c>
      <c r="M53" s="1">
        <f>SUM(M44:M51)</f>
        <v>3807770.6666666665</v>
      </c>
      <c r="N53" s="1">
        <f>SUM(N44:N51)</f>
        <v>3807770.6666666665</v>
      </c>
      <c r="O53" s="1">
        <f>SUM(O44:O51)</f>
        <v>3807770.6666666665</v>
      </c>
      <c r="P53" s="1">
        <f>SUM(P44:P51)</f>
        <v>3807770.6666666665</v>
      </c>
      <c r="Q53" s="1">
        <f>SUM(Q44:Q51)</f>
        <v>3807770.6666666665</v>
      </c>
      <c r="R53" s="1">
        <f>SUM(R44:R51)</f>
        <v>3807770.6666666665</v>
      </c>
      <c r="S53" s="14">
        <f t="shared" si="23"/>
        <v>158074798.7428571</v>
      </c>
    </row>
    <row r="54" spans="1:31">
      <c r="D54" s="8"/>
      <c r="E54" s="8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4"/>
    </row>
    <row r="55" spans="1:31">
      <c r="D55" s="2"/>
      <c r="E55" s="2"/>
      <c r="G55" s="1"/>
      <c r="H55" s="1"/>
      <c r="I55" s="1">
        <f>H55+($D$34*H55)</f>
        <v>0</v>
      </c>
      <c r="J55" s="1"/>
      <c r="K55" s="1"/>
      <c r="L55" s="1"/>
      <c r="M55" s="1"/>
      <c r="N55" s="1"/>
      <c r="O55" s="1"/>
      <c r="P55" s="1"/>
      <c r="Q55" s="1"/>
      <c r="R55" s="1"/>
      <c r="Y55" s="7"/>
    </row>
    <row r="56" spans="1:31">
      <c r="D56" s="2"/>
      <c r="E56" s="2"/>
      <c r="G56" t="str">
        <f>G7</f>
        <v>Sep</v>
      </c>
      <c r="H56" t="str">
        <f>H7</f>
        <v>Oct</v>
      </c>
      <c r="I56" t="str">
        <f>I7</f>
        <v>Nov</v>
      </c>
      <c r="J56" t="str">
        <f>J7</f>
        <v>Dec</v>
      </c>
      <c r="K56" t="str">
        <f>K7</f>
        <v>Jan</v>
      </c>
      <c r="L56" t="str">
        <f>L7</f>
        <v>Feb</v>
      </c>
      <c r="M56" t="str">
        <f>M7</f>
        <v>Mar</v>
      </c>
      <c r="N56" t="str">
        <f>N7</f>
        <v>Apr</v>
      </c>
      <c r="O56" t="str">
        <f>O7</f>
        <v>May</v>
      </c>
      <c r="P56" t="str">
        <f>P7</f>
        <v>Jun</v>
      </c>
      <c r="Q56" t="str">
        <f>Q7</f>
        <v>Jul</v>
      </c>
      <c r="R56" t="str">
        <f>R7</f>
        <v>Aug</v>
      </c>
      <c r="S56" s="1" t="s">
        <v>116</v>
      </c>
      <c r="Y56" s="7"/>
    </row>
    <row r="57" spans="1:31">
      <c r="A57" s="9" t="s">
        <v>16</v>
      </c>
      <c r="B57" s="9"/>
      <c r="C57" s="9"/>
      <c r="D57" s="10" t="s">
        <v>32</v>
      </c>
      <c r="E57" s="10"/>
      <c r="F57" s="9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Z57" s="1"/>
      <c r="AA57" s="1"/>
      <c r="AB57" s="1"/>
      <c r="AC57" s="1"/>
      <c r="AD57" s="1"/>
    </row>
    <row r="58" spans="1:31" s="12" customFormat="1">
      <c r="B58" s="12" t="s">
        <v>170</v>
      </c>
      <c r="D58" s="13"/>
      <c r="E58" s="13"/>
      <c r="F58" s="12" t="s">
        <v>118</v>
      </c>
      <c r="G58" s="14">
        <v>0</v>
      </c>
      <c r="H58" s="14">
        <v>0</v>
      </c>
      <c r="I58" s="14">
        <v>0</v>
      </c>
      <c r="J58" s="14">
        <v>0</v>
      </c>
      <c r="K58" s="14">
        <v>15</v>
      </c>
      <c r="L58" s="14">
        <v>30</v>
      </c>
      <c r="M58" s="14">
        <v>31</v>
      </c>
      <c r="N58" s="14">
        <v>31</v>
      </c>
      <c r="O58" s="14">
        <v>28</v>
      </c>
      <c r="P58" s="14">
        <v>31</v>
      </c>
      <c r="Q58" s="14">
        <v>30</v>
      </c>
      <c r="R58" s="14">
        <v>31</v>
      </c>
      <c r="S58" s="14"/>
      <c r="T58" s="14"/>
      <c r="V58"/>
      <c r="W58"/>
      <c r="X58"/>
      <c r="Y58"/>
      <c r="Z58" s="1"/>
      <c r="AA58" s="1"/>
      <c r="AB58" s="1"/>
      <c r="AC58" s="1"/>
      <c r="AD58" s="1"/>
      <c r="AE58"/>
    </row>
    <row r="59" spans="1:31">
      <c r="B59" s="195" t="s">
        <v>89</v>
      </c>
      <c r="C59" s="195"/>
      <c r="D59" s="184">
        <f>$D$131*D134*D133</f>
        <v>2.4000000000000004</v>
      </c>
      <c r="E59" s="124">
        <v>35</v>
      </c>
      <c r="F59" s="152">
        <v>1</v>
      </c>
      <c r="G59" s="265">
        <f>G58*'JPods Summary'!$F$25</f>
        <v>0</v>
      </c>
      <c r="H59" s="265">
        <f>H58*'JPods Summary'!$F$25</f>
        <v>0</v>
      </c>
      <c r="I59" s="265">
        <f>I58*'JPods Summary'!$F$25</f>
        <v>0</v>
      </c>
      <c r="J59" s="265">
        <f>J58*'JPods Summary'!$F$25</f>
        <v>0</v>
      </c>
      <c r="K59" s="265">
        <f>K58*'JPods Summary'!$F$25</f>
        <v>410865</v>
      </c>
      <c r="L59" s="265">
        <f>L58*'JPods Summary'!$F$25</f>
        <v>821730</v>
      </c>
      <c r="M59" s="265">
        <f>M58*'JPods Summary'!$F$25</f>
        <v>849121</v>
      </c>
      <c r="N59" s="265">
        <f>N58*'JPods Summary'!$F$25</f>
        <v>849121</v>
      </c>
      <c r="O59" s="265">
        <f>O58*'JPods Summary'!$F$25</f>
        <v>766948</v>
      </c>
      <c r="P59" s="265">
        <f>P58*'JPods Summary'!$F$25</f>
        <v>849121</v>
      </c>
      <c r="Q59" s="265">
        <f>Q58*'JPods Summary'!$F$25</f>
        <v>821730</v>
      </c>
      <c r="R59" s="265">
        <f>R58*'JPods Summary'!$F$25</f>
        <v>849121</v>
      </c>
      <c r="S59" s="1">
        <f>SUM(G59:R59)</f>
        <v>6217757</v>
      </c>
      <c r="Z59" s="1"/>
      <c r="AA59" s="1"/>
      <c r="AB59" s="1"/>
      <c r="AC59" s="1"/>
      <c r="AD59" s="1"/>
    </row>
    <row r="60" spans="1:31">
      <c r="B60" s="24"/>
      <c r="C60" s="24" t="s">
        <v>33</v>
      </c>
      <c r="D60" s="124"/>
      <c r="F60" s="12"/>
      <c r="G60" s="266">
        <f>$D$59*G59</f>
        <v>0</v>
      </c>
      <c r="H60" s="266">
        <f>$D$59*H59</f>
        <v>0</v>
      </c>
      <c r="I60" s="266">
        <f>$D$59*I59*I58*$F$59</f>
        <v>0</v>
      </c>
      <c r="J60" s="266">
        <f t="shared" ref="J60:R60" si="25">$D$59*J59*J58*$F$59</f>
        <v>0</v>
      </c>
      <c r="K60" s="266">
        <f>$D$59*K59*K58*$F$59</f>
        <v>14791140.000000002</v>
      </c>
      <c r="L60" s="266">
        <f t="shared" si="25"/>
        <v>59164560.000000007</v>
      </c>
      <c r="M60" s="266">
        <f t="shared" si="25"/>
        <v>63174602.400000013</v>
      </c>
      <c r="N60" s="266">
        <f t="shared" si="25"/>
        <v>63174602.400000013</v>
      </c>
      <c r="O60" s="266">
        <f t="shared" si="25"/>
        <v>51538905.600000009</v>
      </c>
      <c r="P60" s="266">
        <f t="shared" si="25"/>
        <v>63174602.400000013</v>
      </c>
      <c r="Q60" s="266">
        <f t="shared" si="25"/>
        <v>59164560.000000007</v>
      </c>
      <c r="R60" s="266">
        <f t="shared" si="25"/>
        <v>63174602.400000013</v>
      </c>
      <c r="S60" s="1">
        <f>SUM(G60:R60)</f>
        <v>437357575.20000011</v>
      </c>
      <c r="V60" s="22"/>
      <c r="Z60" s="1"/>
      <c r="AA60" s="1"/>
      <c r="AB60" s="1"/>
      <c r="AC60" s="1"/>
      <c r="AD60" s="1"/>
    </row>
    <row r="61" spans="1:31" s="22" customFormat="1">
      <c r="C61" s="264" t="s">
        <v>529</v>
      </c>
      <c r="F61" s="263">
        <v>0.05</v>
      </c>
      <c r="G61" s="267">
        <f>$F$61*G60</f>
        <v>0</v>
      </c>
      <c r="H61" s="267">
        <f t="shared" ref="H61:R61" si="26">$F$61*H60</f>
        <v>0</v>
      </c>
      <c r="I61" s="267">
        <f t="shared" si="26"/>
        <v>0</v>
      </c>
      <c r="J61" s="267">
        <f t="shared" si="26"/>
        <v>0</v>
      </c>
      <c r="K61" s="267">
        <f t="shared" si="26"/>
        <v>739557.00000000012</v>
      </c>
      <c r="L61" s="267">
        <f t="shared" si="26"/>
        <v>2958228.0000000005</v>
      </c>
      <c r="M61" s="267">
        <f t="shared" si="26"/>
        <v>3158730.120000001</v>
      </c>
      <c r="N61" s="267">
        <f t="shared" si="26"/>
        <v>3158730.120000001</v>
      </c>
      <c r="O61" s="267">
        <f t="shared" si="26"/>
        <v>2576945.2800000007</v>
      </c>
      <c r="P61" s="267">
        <f t="shared" si="26"/>
        <v>3158730.120000001</v>
      </c>
      <c r="Q61" s="267">
        <f t="shared" si="26"/>
        <v>2958228.0000000005</v>
      </c>
      <c r="R61" s="267">
        <f t="shared" si="26"/>
        <v>3158730.120000001</v>
      </c>
      <c r="T61" s="102"/>
    </row>
    <row r="62" spans="1:31" s="22" customFormat="1">
      <c r="C62" s="176" t="s">
        <v>385</v>
      </c>
      <c r="D62" s="150">
        <v>0.03</v>
      </c>
      <c r="E62" s="125"/>
      <c r="F62" s="12" t="s">
        <v>221</v>
      </c>
      <c r="G62" s="268">
        <f>$D$62*G60</f>
        <v>0</v>
      </c>
      <c r="H62" s="268">
        <f>$D$62*H60</f>
        <v>0</v>
      </c>
      <c r="I62" s="268">
        <f>$D$62*I60</f>
        <v>0</v>
      </c>
      <c r="J62" s="268">
        <f>$D$62*J60</f>
        <v>0</v>
      </c>
      <c r="K62" s="268">
        <f>$D$62*K60</f>
        <v>443734.2</v>
      </c>
      <c r="L62" s="268">
        <f>$D$62*L60</f>
        <v>1774936.8</v>
      </c>
      <c r="M62" s="268">
        <f>$D$62*M60</f>
        <v>1895238.0720000004</v>
      </c>
      <c r="N62" s="268">
        <f>$D$62*N60</f>
        <v>1895238.0720000004</v>
      </c>
      <c r="O62" s="268">
        <f>$D$62*O60</f>
        <v>1546167.1680000003</v>
      </c>
      <c r="P62" s="268">
        <f>$D$62*P60</f>
        <v>1895238.0720000004</v>
      </c>
      <c r="Q62" s="268">
        <f>$D$62*Q60</f>
        <v>1774936.8</v>
      </c>
      <c r="R62" s="268">
        <f>$D$62*R60</f>
        <v>1895238.0720000004</v>
      </c>
      <c r="S62" s="14">
        <f>SUM(G62:R62)</f>
        <v>13120727.256000003</v>
      </c>
      <c r="T62" s="102"/>
    </row>
    <row r="63" spans="1:31">
      <c r="C63" s="176" t="s">
        <v>150</v>
      </c>
      <c r="D63" s="157">
        <f>F63*(D48+D49+D51)</f>
        <v>8204880</v>
      </c>
      <c r="E63" s="123"/>
      <c r="F63" s="151">
        <v>0.1</v>
      </c>
      <c r="G63" s="272">
        <f>$D$63/12</f>
        <v>683740</v>
      </c>
      <c r="H63" s="272">
        <f>$D$63/12</f>
        <v>683740</v>
      </c>
      <c r="I63" s="272">
        <f>$D$63/12</f>
        <v>683740</v>
      </c>
      <c r="J63" s="272">
        <f>$D$63/12</f>
        <v>683740</v>
      </c>
      <c r="K63" s="272">
        <f>$D$63/12</f>
        <v>683740</v>
      </c>
      <c r="L63" s="272">
        <f>$D$63/12</f>
        <v>683740</v>
      </c>
      <c r="M63" s="272">
        <f>$D$63/12</f>
        <v>683740</v>
      </c>
      <c r="N63" s="272">
        <f>$D$63/12</f>
        <v>683740</v>
      </c>
      <c r="O63" s="272">
        <f>$D$63/12</f>
        <v>683740</v>
      </c>
      <c r="P63" s="272">
        <f>$D$63/12</f>
        <v>683740</v>
      </c>
      <c r="Q63" s="272">
        <f>$D$63/12</f>
        <v>683740</v>
      </c>
      <c r="R63" s="272">
        <f>$D$63/12</f>
        <v>683740</v>
      </c>
      <c r="S63" s="14">
        <f>SUM(G63:R63)</f>
        <v>8204880</v>
      </c>
    </row>
    <row r="64" spans="1:31">
      <c r="C64" s="176" t="s">
        <v>384</v>
      </c>
      <c r="D64" s="155">
        <f>$D$131*D156</f>
        <v>8000000</v>
      </c>
      <c r="E64" s="123"/>
      <c r="F64" s="261"/>
      <c r="G64" s="272">
        <f>$D$64/12</f>
        <v>666666.66666666663</v>
      </c>
      <c r="H64" s="272">
        <f t="shared" ref="H64:R64" si="27">$D$64/12</f>
        <v>666666.66666666663</v>
      </c>
      <c r="I64" s="272">
        <f t="shared" si="27"/>
        <v>666666.66666666663</v>
      </c>
      <c r="J64" s="272">
        <f t="shared" si="27"/>
        <v>666666.66666666663</v>
      </c>
      <c r="K64" s="272">
        <f t="shared" si="27"/>
        <v>666666.66666666663</v>
      </c>
      <c r="L64" s="272">
        <f t="shared" si="27"/>
        <v>666666.66666666663</v>
      </c>
      <c r="M64" s="272">
        <f t="shared" si="27"/>
        <v>666666.66666666663</v>
      </c>
      <c r="N64" s="272">
        <f t="shared" si="27"/>
        <v>666666.66666666663</v>
      </c>
      <c r="O64" s="272">
        <f t="shared" si="27"/>
        <v>666666.66666666663</v>
      </c>
      <c r="P64" s="272">
        <f t="shared" si="27"/>
        <v>666666.66666666663</v>
      </c>
      <c r="Q64" s="272">
        <f t="shared" si="27"/>
        <v>666666.66666666663</v>
      </c>
      <c r="R64" s="272">
        <f t="shared" si="27"/>
        <v>666666.66666666663</v>
      </c>
      <c r="S64" s="14">
        <f>SUM(G64:R64)</f>
        <v>8000000.0000000009</v>
      </c>
    </row>
    <row r="65" spans="2:32" s="22" customFormat="1">
      <c r="C65" s="178" t="s">
        <v>151</v>
      </c>
      <c r="D65" s="203">
        <f>$D$131*D149*('JPods Summary'!F28/5)</f>
        <v>240000</v>
      </c>
      <c r="E65" s="125"/>
      <c r="F65" s="12"/>
      <c r="G65" s="269">
        <f>$D$65/12</f>
        <v>20000</v>
      </c>
      <c r="H65" s="269">
        <f>$D$65/12</f>
        <v>20000</v>
      </c>
      <c r="I65" s="269">
        <f>$D$65/12</f>
        <v>20000</v>
      </c>
      <c r="J65" s="269">
        <f>$D$65/12</f>
        <v>20000</v>
      </c>
      <c r="K65" s="269">
        <f>$D$65/12</f>
        <v>20000</v>
      </c>
      <c r="L65" s="269">
        <f>$D$65/12</f>
        <v>20000</v>
      </c>
      <c r="M65" s="269">
        <f>$D$65/12</f>
        <v>20000</v>
      </c>
      <c r="N65" s="269">
        <f>$D$65/12</f>
        <v>20000</v>
      </c>
      <c r="O65" s="269">
        <f>$D$65/12</f>
        <v>20000</v>
      </c>
      <c r="P65" s="269">
        <f>$D$65/12</f>
        <v>20000</v>
      </c>
      <c r="Q65" s="269">
        <f>$D$65/12</f>
        <v>20000</v>
      </c>
      <c r="R65" s="269">
        <f>$D$65/12</f>
        <v>20000</v>
      </c>
      <c r="S65" s="14">
        <f>SUM(G65:R65)</f>
        <v>240000</v>
      </c>
      <c r="T65" s="102"/>
    </row>
    <row r="66" spans="2:32" s="22" customFormat="1">
      <c r="C66" s="178" t="s">
        <v>531</v>
      </c>
      <c r="D66"/>
      <c r="E66" s="124"/>
      <c r="F66" s="150">
        <v>0.5</v>
      </c>
      <c r="G66" s="269">
        <f>$F$66*G60</f>
        <v>0</v>
      </c>
      <c r="H66" s="269">
        <f>$F$66*H60</f>
        <v>0</v>
      </c>
      <c r="I66" s="269">
        <f>$F$66*I60</f>
        <v>0</v>
      </c>
      <c r="J66" s="269">
        <f>$F$66*J60</f>
        <v>0</v>
      </c>
      <c r="K66" s="269">
        <f>$F$66*K60</f>
        <v>7395570.0000000009</v>
      </c>
      <c r="L66" s="269">
        <f>$F$66*L60</f>
        <v>29582280.000000004</v>
      </c>
      <c r="M66" s="269">
        <f>$F$66*M60</f>
        <v>31587301.200000007</v>
      </c>
      <c r="N66" s="269">
        <f>$F$66*N60</f>
        <v>31587301.200000007</v>
      </c>
      <c r="O66" s="269">
        <f>$F$66*O60</f>
        <v>25769452.800000004</v>
      </c>
      <c r="P66" s="269">
        <f>$F$66*P60</f>
        <v>31587301.200000007</v>
      </c>
      <c r="Q66" s="269">
        <f>$F$66*Q60</f>
        <v>29582280.000000004</v>
      </c>
      <c r="R66" s="269">
        <f>$F$66*R60</f>
        <v>31587301.200000007</v>
      </c>
      <c r="S66" s="14">
        <f>SUM(G66:R66)</f>
        <v>218678787.60000005</v>
      </c>
      <c r="T66" s="102"/>
    </row>
    <row r="67" spans="2:32">
      <c r="B67" s="24"/>
      <c r="C67" s="190" t="s">
        <v>532</v>
      </c>
      <c r="E67" s="124"/>
      <c r="F67" s="150"/>
      <c r="G67" s="270">
        <f>SUM(G61:G66)</f>
        <v>1370406.6666666665</v>
      </c>
      <c r="H67" s="270">
        <f>SUM(H61:H66)</f>
        <v>1370406.6666666665</v>
      </c>
      <c r="I67" s="270">
        <f>SUM(I61:I66)</f>
        <v>1370406.6666666665</v>
      </c>
      <c r="J67" s="270">
        <f>SUM(J61:J66)</f>
        <v>1370406.6666666665</v>
      </c>
      <c r="K67" s="270">
        <f>SUM(K61:K66)</f>
        <v>9949267.8666666672</v>
      </c>
      <c r="L67" s="270">
        <f>SUM(L61:L66)</f>
        <v>35685851.466666669</v>
      </c>
      <c r="M67" s="270">
        <f>SUM(M61:M66)</f>
        <v>38011676.058666676</v>
      </c>
      <c r="N67" s="270">
        <f>SUM(N61:N66)</f>
        <v>38011676.058666676</v>
      </c>
      <c r="O67" s="270">
        <f>SUM(O61:O66)</f>
        <v>31262971.914666671</v>
      </c>
      <c r="P67" s="270">
        <f>SUM(P61:P66)</f>
        <v>38011676.058666676</v>
      </c>
      <c r="Q67" s="270">
        <f>SUM(Q61:Q66)</f>
        <v>35685851.466666669</v>
      </c>
      <c r="R67" s="270">
        <f>SUM(R61:R66)</f>
        <v>38011676.058666676</v>
      </c>
      <c r="S67" s="1">
        <f>SUM(S62:S66)</f>
        <v>248244394.85600007</v>
      </c>
      <c r="Z67" s="1"/>
      <c r="AA67" s="1"/>
      <c r="AB67" s="1"/>
      <c r="AC67" s="1"/>
      <c r="AD67" s="1"/>
      <c r="AF67" s="3"/>
    </row>
    <row r="68" spans="2:32">
      <c r="B68" s="24"/>
      <c r="C68" s="190"/>
      <c r="E68" s="124"/>
      <c r="F68" s="262"/>
      <c r="G68" s="270"/>
      <c r="H68" s="270"/>
      <c r="I68" s="270"/>
      <c r="J68" s="270"/>
      <c r="K68" s="270"/>
      <c r="L68" s="270"/>
      <c r="M68" s="270"/>
      <c r="N68" s="270"/>
      <c r="O68" s="270"/>
      <c r="P68" s="270"/>
      <c r="Q68" s="270"/>
      <c r="R68" s="270"/>
      <c r="Z68" s="1"/>
      <c r="AA68" s="1"/>
      <c r="AB68" s="1"/>
      <c r="AC68" s="1"/>
      <c r="AD68" s="1"/>
      <c r="AF68" s="3"/>
    </row>
    <row r="69" spans="2:32" ht="14" customHeight="1">
      <c r="Z69" s="1"/>
      <c r="AA69" s="1"/>
      <c r="AB69" s="1"/>
      <c r="AC69" s="1"/>
      <c r="AD69" s="1"/>
      <c r="AF69" s="3"/>
    </row>
    <row r="70" spans="2:32" ht="14" customHeight="1">
      <c r="Z70" s="1"/>
      <c r="AA70" s="1"/>
      <c r="AB70" s="1"/>
      <c r="AC70" s="1"/>
      <c r="AD70" s="1"/>
      <c r="AF70" s="3"/>
    </row>
    <row r="71" spans="2:32" ht="14" customHeight="1">
      <c r="C71" t="s">
        <v>543</v>
      </c>
      <c r="F71" s="7">
        <v>0.02</v>
      </c>
      <c r="G71">
        <f>$F$71*G60</f>
        <v>0</v>
      </c>
      <c r="H71">
        <f t="shared" ref="H71:R71" si="28">$F$71*H60</f>
        <v>0</v>
      </c>
      <c r="I71">
        <f t="shared" si="28"/>
        <v>0</v>
      </c>
      <c r="J71">
        <f t="shared" si="28"/>
        <v>0</v>
      </c>
      <c r="K71">
        <f t="shared" si="28"/>
        <v>295822.80000000005</v>
      </c>
      <c r="L71">
        <f t="shared" si="28"/>
        <v>1183291.2000000002</v>
      </c>
      <c r="M71">
        <f t="shared" si="28"/>
        <v>1263492.0480000002</v>
      </c>
      <c r="N71">
        <f t="shared" si="28"/>
        <v>1263492.0480000002</v>
      </c>
      <c r="O71">
        <f t="shared" si="28"/>
        <v>1030778.1120000002</v>
      </c>
      <c r="P71">
        <f t="shared" si="28"/>
        <v>1263492.0480000002</v>
      </c>
      <c r="Q71">
        <f t="shared" si="28"/>
        <v>1183291.2000000002</v>
      </c>
      <c r="R71">
        <f t="shared" si="28"/>
        <v>1263492.0480000002</v>
      </c>
      <c r="S71" s="1">
        <f>SUM(G71:R71)</f>
        <v>8747151.5040000007</v>
      </c>
      <c r="Z71" s="1"/>
      <c r="AA71" s="1"/>
      <c r="AB71" s="1"/>
      <c r="AC71" s="1"/>
      <c r="AD71" s="1"/>
      <c r="AF71" s="3"/>
    </row>
    <row r="72" spans="2:32" ht="14" customHeight="1">
      <c r="C72" t="s">
        <v>544</v>
      </c>
      <c r="F72" s="7">
        <v>0.01</v>
      </c>
      <c r="G72">
        <f>$F$72*G60</f>
        <v>0</v>
      </c>
      <c r="H72">
        <f t="shared" ref="H72:R72" si="29">$F$72*H60</f>
        <v>0</v>
      </c>
      <c r="I72">
        <f t="shared" si="29"/>
        <v>0</v>
      </c>
      <c r="J72">
        <f t="shared" si="29"/>
        <v>0</v>
      </c>
      <c r="K72">
        <f t="shared" si="29"/>
        <v>147911.40000000002</v>
      </c>
      <c r="L72">
        <f t="shared" si="29"/>
        <v>591645.60000000009</v>
      </c>
      <c r="M72">
        <f t="shared" si="29"/>
        <v>631746.02400000009</v>
      </c>
      <c r="N72">
        <f t="shared" si="29"/>
        <v>631746.02400000009</v>
      </c>
      <c r="O72">
        <f t="shared" si="29"/>
        <v>515389.0560000001</v>
      </c>
      <c r="P72">
        <f t="shared" si="29"/>
        <v>631746.02400000009</v>
      </c>
      <c r="Q72">
        <f t="shared" si="29"/>
        <v>591645.60000000009</v>
      </c>
      <c r="R72">
        <f t="shared" si="29"/>
        <v>631746.02400000009</v>
      </c>
      <c r="S72" s="1">
        <f>SUM(G72:R72)</f>
        <v>4373575.7520000003</v>
      </c>
      <c r="Z72" s="1"/>
      <c r="AA72" s="1"/>
      <c r="AB72" s="1"/>
      <c r="AC72" s="1"/>
      <c r="AD72" s="1"/>
      <c r="AF72" s="3"/>
    </row>
    <row r="73" spans="2:32">
      <c r="C73" t="s">
        <v>545</v>
      </c>
      <c r="F73" s="7">
        <v>0.04</v>
      </c>
      <c r="G73">
        <f>$F$73*G60</f>
        <v>0</v>
      </c>
      <c r="H73">
        <f t="shared" ref="H73:R73" si="30">$F$73*H60</f>
        <v>0</v>
      </c>
      <c r="I73">
        <f t="shared" si="30"/>
        <v>0</v>
      </c>
      <c r="J73">
        <f t="shared" si="30"/>
        <v>0</v>
      </c>
      <c r="K73">
        <f t="shared" si="30"/>
        <v>591645.60000000009</v>
      </c>
      <c r="L73">
        <f t="shared" si="30"/>
        <v>2366582.4000000004</v>
      </c>
      <c r="M73">
        <f t="shared" si="30"/>
        <v>2526984.0960000004</v>
      </c>
      <c r="N73">
        <f t="shared" si="30"/>
        <v>2526984.0960000004</v>
      </c>
      <c r="O73">
        <f t="shared" si="30"/>
        <v>2061556.2240000004</v>
      </c>
      <c r="P73">
        <f t="shared" si="30"/>
        <v>2526984.0960000004</v>
      </c>
      <c r="Q73">
        <f t="shared" si="30"/>
        <v>2366582.4000000004</v>
      </c>
      <c r="R73">
        <f t="shared" si="30"/>
        <v>2526984.0960000004</v>
      </c>
      <c r="S73" s="1">
        <f>SUM(G73:R73)</f>
        <v>17494303.008000001</v>
      </c>
      <c r="Z73" s="1"/>
      <c r="AA73" s="1"/>
      <c r="AB73" s="1"/>
      <c r="AC73" s="1"/>
      <c r="AD73" s="1"/>
      <c r="AF73" s="3"/>
    </row>
    <row r="74" spans="2:32">
      <c r="Z74" s="1"/>
      <c r="AA74" s="1"/>
      <c r="AB74" s="1"/>
      <c r="AC74" s="1"/>
      <c r="AD74" s="1"/>
      <c r="AF74" s="3"/>
    </row>
    <row r="75" spans="2:32">
      <c r="B75" s="209" t="s">
        <v>51</v>
      </c>
      <c r="C75" s="209"/>
      <c r="D75" s="153">
        <f>$D$131*D135</f>
        <v>14</v>
      </c>
      <c r="E75" s="124"/>
      <c r="F75" s="154">
        <v>0.15</v>
      </c>
      <c r="G75" s="265">
        <f>'JPods Summary'!$F$25*$F$75</f>
        <v>4108.6499999999996</v>
      </c>
      <c r="H75" s="265">
        <f>'JPods Summary'!$F$25*$F$75</f>
        <v>4108.6499999999996</v>
      </c>
      <c r="I75" s="265">
        <f>'JPods Summary'!$F$25*$F$75</f>
        <v>4108.6499999999996</v>
      </c>
      <c r="J75" s="265">
        <f>'JPods Summary'!$F$25*$F$75</f>
        <v>4108.6499999999996</v>
      </c>
      <c r="K75" s="265">
        <f>'JPods Summary'!$F$25*$F$75</f>
        <v>4108.6499999999996</v>
      </c>
      <c r="L75" s="265">
        <f>'JPods Summary'!$F$25*$F$75</f>
        <v>4108.6499999999996</v>
      </c>
      <c r="M75" s="265">
        <f>'JPods Summary'!$F$25*$F$75</f>
        <v>4108.6499999999996</v>
      </c>
      <c r="N75" s="265">
        <f>'JPods Summary'!$F$25*$F$75</f>
        <v>4108.6499999999996</v>
      </c>
      <c r="O75" s="265">
        <f>'JPods Summary'!$F$25*$F$75</f>
        <v>4108.6499999999996</v>
      </c>
      <c r="P75" s="265">
        <f>'JPods Summary'!$F$25*$F$75</f>
        <v>4108.6499999999996</v>
      </c>
      <c r="Q75" s="265">
        <f>'JPods Summary'!$F$25*$F$75</f>
        <v>4108.6499999999996</v>
      </c>
      <c r="R75" s="265">
        <f>'JPods Summary'!$F$25*$F$75</f>
        <v>4108.6499999999996</v>
      </c>
      <c r="S75" s="1">
        <v>20000</v>
      </c>
      <c r="Z75" s="1"/>
      <c r="AA75" s="1"/>
      <c r="AB75" s="1"/>
      <c r="AC75" s="1"/>
      <c r="AD75" s="1"/>
      <c r="AE75" s="22"/>
    </row>
    <row r="76" spans="2:32">
      <c r="B76" s="24"/>
      <c r="C76" s="24" t="s">
        <v>33</v>
      </c>
      <c r="D76" s="124"/>
      <c r="E76" s="124"/>
      <c r="F76" s="12"/>
      <c r="G76" s="271">
        <f>$D$75*G75</f>
        <v>57521.099999999991</v>
      </c>
      <c r="H76" s="271">
        <f t="shared" ref="H76:R76" si="31">$D$75*H75</f>
        <v>57521.099999999991</v>
      </c>
      <c r="I76" s="271">
        <f t="shared" si="31"/>
        <v>57521.099999999991</v>
      </c>
      <c r="J76" s="271">
        <f t="shared" si="31"/>
        <v>57521.099999999991</v>
      </c>
      <c r="K76" s="271">
        <f t="shared" si="31"/>
        <v>57521.099999999991</v>
      </c>
      <c r="L76" s="271">
        <f t="shared" si="31"/>
        <v>57521.099999999991</v>
      </c>
      <c r="M76" s="271">
        <f t="shared" si="31"/>
        <v>57521.099999999991</v>
      </c>
      <c r="N76" s="271">
        <f t="shared" si="31"/>
        <v>57521.099999999991</v>
      </c>
      <c r="O76" s="271">
        <f t="shared" si="31"/>
        <v>57521.099999999991</v>
      </c>
      <c r="P76" s="271">
        <f t="shared" si="31"/>
        <v>57521.099999999991</v>
      </c>
      <c r="Q76" s="271">
        <f t="shared" si="31"/>
        <v>57521.099999999991</v>
      </c>
      <c r="R76" s="271">
        <f t="shared" si="31"/>
        <v>57521.099999999991</v>
      </c>
      <c r="S76" s="1">
        <f>SUM(G76:R76)</f>
        <v>690253.19999999984</v>
      </c>
      <c r="Z76" s="1"/>
      <c r="AA76" s="1"/>
      <c r="AB76" s="1"/>
      <c r="AC76" s="1"/>
      <c r="AD76" s="1"/>
    </row>
    <row r="77" spans="2:32">
      <c r="B77" s="24"/>
      <c r="C77" s="190" t="s">
        <v>172</v>
      </c>
      <c r="E77" s="124"/>
      <c r="F77" s="150">
        <v>0.7</v>
      </c>
      <c r="G77" s="270">
        <f>$F$77*G76</f>
        <v>40264.76999999999</v>
      </c>
      <c r="H77" s="270">
        <f>$F$77*H76</f>
        <v>40264.76999999999</v>
      </c>
      <c r="I77" s="270">
        <f>$F$77*I76</f>
        <v>40264.76999999999</v>
      </c>
      <c r="J77" s="270">
        <f>$F$77*J76</f>
        <v>40264.76999999999</v>
      </c>
      <c r="K77" s="270">
        <f>$F$77*K76</f>
        <v>40264.76999999999</v>
      </c>
      <c r="L77" s="270">
        <f>$F$77*L76</f>
        <v>40264.76999999999</v>
      </c>
      <c r="M77" s="270">
        <f>$F$77*M76</f>
        <v>40264.76999999999</v>
      </c>
      <c r="N77" s="270">
        <f>$F$77*N76</f>
        <v>40264.76999999999</v>
      </c>
      <c r="O77" s="270">
        <f>$F$77*O76</f>
        <v>40264.76999999999</v>
      </c>
      <c r="P77" s="270">
        <f>$F$77*P76</f>
        <v>40264.76999999999</v>
      </c>
      <c r="Q77" s="270">
        <f>$F$77*Q76</f>
        <v>40264.76999999999</v>
      </c>
      <c r="R77" s="270">
        <f>$F$77*R76</f>
        <v>40264.76999999999</v>
      </c>
      <c r="S77" s="1">
        <f>SUM(G77:R77)</f>
        <v>483177.24</v>
      </c>
      <c r="Z77" s="1"/>
      <c r="AA77" s="1"/>
      <c r="AB77" s="1"/>
      <c r="AC77" s="1"/>
      <c r="AD77" s="1"/>
    </row>
    <row r="78" spans="2:32">
      <c r="B78" s="24"/>
      <c r="C78" s="24"/>
      <c r="D78" s="126"/>
      <c r="E78" s="124"/>
      <c r="F78" s="12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Z78" s="1"/>
      <c r="AA78" s="1"/>
      <c r="AB78" s="1"/>
      <c r="AC78" s="1"/>
      <c r="AD78" s="1"/>
    </row>
    <row r="79" spans="2:32">
      <c r="B79" s="209" t="s">
        <v>226</v>
      </c>
      <c r="C79" s="209"/>
      <c r="D79" s="124"/>
      <c r="E79" s="13"/>
      <c r="F79" s="12"/>
      <c r="G79" s="195"/>
      <c r="H79" s="195"/>
      <c r="I79" s="195"/>
      <c r="J79" s="195"/>
      <c r="K79" s="195"/>
      <c r="L79" s="195"/>
      <c r="M79" s="195"/>
      <c r="N79" s="195"/>
      <c r="O79" s="195"/>
      <c r="P79" s="195"/>
      <c r="Q79" s="195"/>
      <c r="R79" s="195"/>
      <c r="W79" s="22"/>
      <c r="X79" s="22"/>
      <c r="Y79" s="22"/>
      <c r="Z79" s="22"/>
      <c r="AA79" s="22"/>
      <c r="AB79" s="22"/>
      <c r="AC79" s="22"/>
      <c r="AD79" s="22"/>
    </row>
    <row r="80" spans="2:32">
      <c r="B80" s="24"/>
      <c r="C80" s="24" t="s">
        <v>33</v>
      </c>
      <c r="D80" s="124"/>
      <c r="E80" s="124"/>
      <c r="F80" s="12"/>
      <c r="G80" s="25">
        <v>0</v>
      </c>
      <c r="H80" s="25">
        <v>0</v>
      </c>
      <c r="I80" s="25">
        <v>0</v>
      </c>
      <c r="J80" s="25">
        <v>0</v>
      </c>
      <c r="K80" s="25">
        <v>0</v>
      </c>
      <c r="L80" s="25">
        <v>0</v>
      </c>
      <c r="M80" s="25">
        <v>0</v>
      </c>
      <c r="N80" s="25">
        <v>0</v>
      </c>
      <c r="O80" s="25">
        <v>0</v>
      </c>
      <c r="P80" s="25">
        <v>0</v>
      </c>
      <c r="Q80" s="25">
        <v>0</v>
      </c>
      <c r="R80" s="25">
        <v>0</v>
      </c>
      <c r="S80" s="1">
        <f>SUM(G80:R80)</f>
        <v>0</v>
      </c>
    </row>
    <row r="81" spans="1:31">
      <c r="B81" s="24"/>
      <c r="C81" s="190" t="s">
        <v>172</v>
      </c>
      <c r="D81" s="124"/>
      <c r="E81" s="124"/>
      <c r="F81" s="14"/>
      <c r="G81" s="189">
        <v>0</v>
      </c>
      <c r="H81" s="189">
        <v>0</v>
      </c>
      <c r="I81" s="189">
        <v>0</v>
      </c>
      <c r="J81" s="189">
        <v>0</v>
      </c>
      <c r="K81" s="189">
        <v>0</v>
      </c>
      <c r="L81" s="189">
        <v>0</v>
      </c>
      <c r="M81" s="189">
        <v>0</v>
      </c>
      <c r="N81" s="189">
        <v>0</v>
      </c>
      <c r="O81" s="189">
        <v>0</v>
      </c>
      <c r="P81" s="189">
        <v>0</v>
      </c>
      <c r="Q81" s="189">
        <v>0</v>
      </c>
      <c r="R81" s="189">
        <v>0</v>
      </c>
      <c r="S81" s="1">
        <f>SUM(G81:R81)</f>
        <v>0</v>
      </c>
      <c r="V81" s="12"/>
    </row>
    <row r="82" spans="1:31" ht="15" customHeight="1">
      <c r="B82" s="103" t="s">
        <v>90</v>
      </c>
      <c r="C82" s="103"/>
      <c r="D82" s="191">
        <f>$D$131*D154</f>
        <v>100000</v>
      </c>
      <c r="E82" s="124"/>
      <c r="F82" s="152">
        <v>4</v>
      </c>
      <c r="G82" s="104">
        <v>0</v>
      </c>
      <c r="H82" s="104">
        <v>0</v>
      </c>
      <c r="I82" s="104">
        <v>2</v>
      </c>
      <c r="J82" s="104">
        <v>1</v>
      </c>
      <c r="K82" s="104">
        <v>1</v>
      </c>
      <c r="L82" s="104">
        <v>1</v>
      </c>
      <c r="M82" s="104">
        <v>2</v>
      </c>
      <c r="N82" s="104">
        <v>2</v>
      </c>
      <c r="O82" s="104">
        <v>0</v>
      </c>
      <c r="P82" s="104">
        <v>0</v>
      </c>
      <c r="Q82" s="104">
        <v>0</v>
      </c>
      <c r="R82" s="104">
        <v>0</v>
      </c>
      <c r="S82" s="1">
        <f>SUM(G82:R82)</f>
        <v>9</v>
      </c>
      <c r="AE82" s="12"/>
    </row>
    <row r="83" spans="1:31">
      <c r="B83" s="103"/>
      <c r="C83" s="103" t="s">
        <v>33</v>
      </c>
      <c r="D83" s="124"/>
      <c r="E83" s="124"/>
      <c r="F83" s="12"/>
      <c r="G83" s="104">
        <f t="shared" ref="G83:R83" si="32">G82*$D$82</f>
        <v>0</v>
      </c>
      <c r="H83" s="104">
        <f t="shared" si="32"/>
        <v>0</v>
      </c>
      <c r="I83" s="104">
        <f t="shared" si="32"/>
        <v>200000</v>
      </c>
      <c r="J83" s="104">
        <f t="shared" si="32"/>
        <v>100000</v>
      </c>
      <c r="K83" s="104">
        <f t="shared" si="32"/>
        <v>100000</v>
      </c>
      <c r="L83" s="104">
        <f t="shared" si="32"/>
        <v>100000</v>
      </c>
      <c r="M83" s="104">
        <f t="shared" si="32"/>
        <v>200000</v>
      </c>
      <c r="N83" s="104">
        <f t="shared" si="32"/>
        <v>200000</v>
      </c>
      <c r="O83" s="104">
        <f t="shared" si="32"/>
        <v>0</v>
      </c>
      <c r="P83" s="104">
        <f t="shared" si="32"/>
        <v>0</v>
      </c>
      <c r="Q83" s="104">
        <f t="shared" si="32"/>
        <v>0</v>
      </c>
      <c r="R83" s="104">
        <f t="shared" si="32"/>
        <v>0</v>
      </c>
      <c r="S83" s="1">
        <f>SUM(G83:R83)</f>
        <v>900000</v>
      </c>
    </row>
    <row r="84" spans="1:31">
      <c r="B84" s="103"/>
      <c r="C84" s="103" t="s">
        <v>172</v>
      </c>
      <c r="D84" s="154">
        <v>0.35</v>
      </c>
      <c r="E84" s="124"/>
      <c r="F84" s="12"/>
      <c r="G84" s="189">
        <f t="shared" ref="G84:R84" si="33">$D$84*G83</f>
        <v>0</v>
      </c>
      <c r="H84" s="189">
        <f t="shared" si="33"/>
        <v>0</v>
      </c>
      <c r="I84" s="189">
        <f t="shared" si="33"/>
        <v>70000</v>
      </c>
      <c r="J84" s="189">
        <f t="shared" si="33"/>
        <v>35000</v>
      </c>
      <c r="K84" s="189">
        <f t="shared" si="33"/>
        <v>35000</v>
      </c>
      <c r="L84" s="189">
        <f t="shared" si="33"/>
        <v>35000</v>
      </c>
      <c r="M84" s="189">
        <f t="shared" si="33"/>
        <v>70000</v>
      </c>
      <c r="N84" s="189">
        <f t="shared" si="33"/>
        <v>70000</v>
      </c>
      <c r="O84" s="189">
        <f t="shared" si="33"/>
        <v>0</v>
      </c>
      <c r="P84" s="189">
        <f t="shared" si="33"/>
        <v>0</v>
      </c>
      <c r="Q84" s="189">
        <f t="shared" si="33"/>
        <v>0</v>
      </c>
      <c r="R84" s="189">
        <f t="shared" si="33"/>
        <v>0</v>
      </c>
    </row>
    <row r="85" spans="1:31">
      <c r="B85" s="103"/>
      <c r="C85" s="103"/>
      <c r="D85" s="124"/>
      <c r="E85" s="124"/>
      <c r="F85" s="12"/>
      <c r="G85" s="104"/>
      <c r="H85" s="104"/>
      <c r="I85" s="104"/>
      <c r="J85" s="104"/>
      <c r="K85" s="104"/>
      <c r="L85" s="104"/>
      <c r="M85" s="104"/>
      <c r="N85" s="104"/>
      <c r="O85" s="104"/>
      <c r="P85" s="104"/>
      <c r="Q85" s="104"/>
      <c r="R85" s="104"/>
    </row>
    <row r="86" spans="1:31">
      <c r="B86" s="103" t="s">
        <v>91</v>
      </c>
      <c r="C86" s="103"/>
      <c r="D86" s="191">
        <f>$D$131*D155</f>
        <v>0</v>
      </c>
      <c r="E86" s="124"/>
      <c r="F86" s="193">
        <f>SUM(G86:R86)</f>
        <v>1</v>
      </c>
      <c r="G86" s="192">
        <v>0</v>
      </c>
      <c r="H86" s="192">
        <v>0</v>
      </c>
      <c r="I86" s="192">
        <v>0</v>
      </c>
      <c r="J86" s="192">
        <v>0.1</v>
      </c>
      <c r="K86" s="192">
        <v>0</v>
      </c>
      <c r="L86" s="192">
        <v>0</v>
      </c>
      <c r="M86" s="192">
        <v>0.1</v>
      </c>
      <c r="N86" s="192">
        <v>0.1</v>
      </c>
      <c r="O86" s="192">
        <v>0.1</v>
      </c>
      <c r="P86" s="192">
        <v>0.2</v>
      </c>
      <c r="Q86" s="192">
        <v>0.2</v>
      </c>
      <c r="R86" s="192">
        <v>0.2</v>
      </c>
      <c r="S86" s="1">
        <f>SUM(G86:R86)</f>
        <v>1</v>
      </c>
      <c r="W86" s="12"/>
      <c r="X86" s="12"/>
      <c r="Y86" s="12"/>
      <c r="Z86" s="12"/>
      <c r="AA86" s="12"/>
      <c r="AB86" s="12"/>
      <c r="AC86" s="12"/>
      <c r="AD86" s="12"/>
    </row>
    <row r="87" spans="1:31">
      <c r="B87" s="103"/>
      <c r="C87" s="103" t="s">
        <v>33</v>
      </c>
      <c r="D87" s="124"/>
      <c r="E87" s="124"/>
      <c r="F87" s="12"/>
      <c r="G87" s="104">
        <f>$D$86*G86</f>
        <v>0</v>
      </c>
      <c r="H87" s="104">
        <f t="shared" ref="H87:R87" si="34">$D$86*H86</f>
        <v>0</v>
      </c>
      <c r="I87" s="104">
        <f t="shared" si="34"/>
        <v>0</v>
      </c>
      <c r="J87" s="104">
        <f t="shared" si="34"/>
        <v>0</v>
      </c>
      <c r="K87" s="104">
        <f t="shared" si="34"/>
        <v>0</v>
      </c>
      <c r="L87" s="104">
        <f t="shared" si="34"/>
        <v>0</v>
      </c>
      <c r="M87" s="104">
        <f t="shared" si="34"/>
        <v>0</v>
      </c>
      <c r="N87" s="104">
        <f t="shared" si="34"/>
        <v>0</v>
      </c>
      <c r="O87" s="104">
        <f t="shared" si="34"/>
        <v>0</v>
      </c>
      <c r="P87" s="104">
        <f t="shared" si="34"/>
        <v>0</v>
      </c>
      <c r="Q87" s="104">
        <f t="shared" si="34"/>
        <v>0</v>
      </c>
      <c r="R87" s="104">
        <f t="shared" si="34"/>
        <v>0</v>
      </c>
      <c r="S87" s="1">
        <f>SUM(G87:R87)</f>
        <v>0</v>
      </c>
    </row>
    <row r="88" spans="1:31">
      <c r="B88" s="103"/>
      <c r="C88" s="190" t="s">
        <v>172</v>
      </c>
      <c r="D88" s="150">
        <v>0.15</v>
      </c>
      <c r="E88" s="124"/>
      <c r="F88" s="12"/>
      <c r="G88" s="189">
        <f>G87*$D$88</f>
        <v>0</v>
      </c>
      <c r="H88" s="189">
        <f t="shared" ref="H88:R88" si="35">H87*$D$88</f>
        <v>0</v>
      </c>
      <c r="I88" s="189">
        <f t="shared" si="35"/>
        <v>0</v>
      </c>
      <c r="J88" s="189">
        <f t="shared" si="35"/>
        <v>0</v>
      </c>
      <c r="K88" s="189">
        <f t="shared" si="35"/>
        <v>0</v>
      </c>
      <c r="L88" s="189">
        <f t="shared" si="35"/>
        <v>0</v>
      </c>
      <c r="M88" s="189">
        <f t="shared" si="35"/>
        <v>0</v>
      </c>
      <c r="N88" s="189">
        <f t="shared" si="35"/>
        <v>0</v>
      </c>
      <c r="O88" s="189">
        <f t="shared" si="35"/>
        <v>0</v>
      </c>
      <c r="P88" s="189">
        <f t="shared" si="35"/>
        <v>0</v>
      </c>
      <c r="Q88" s="189">
        <f t="shared" si="35"/>
        <v>0</v>
      </c>
      <c r="R88" s="189">
        <f t="shared" si="35"/>
        <v>0</v>
      </c>
      <c r="S88" s="1">
        <f>SUM(G88:R88)</f>
        <v>0</v>
      </c>
    </row>
    <row r="89" spans="1:31" s="22" customFormat="1">
      <c r="T89" s="102"/>
    </row>
    <row r="90" spans="1:31" s="22" customFormat="1">
      <c r="S90" s="1"/>
      <c r="T90" s="102"/>
    </row>
    <row r="91" spans="1:31" s="9" customFormat="1">
      <c r="A91" s="9" t="s">
        <v>116</v>
      </c>
    </row>
    <row r="92" spans="1:31" s="22" customFormat="1">
      <c r="S92" s="1"/>
      <c r="T92" s="102"/>
    </row>
    <row r="93" spans="1:31">
      <c r="D93" s="12"/>
      <c r="E93" s="12"/>
      <c r="F93" s="12"/>
    </row>
    <row r="94" spans="1:31">
      <c r="C94" s="24" t="s">
        <v>123</v>
      </c>
      <c r="D94" s="12"/>
      <c r="E94" s="12"/>
      <c r="F94" s="12"/>
      <c r="G94" s="25">
        <f>G26</f>
        <v>139.19999999999999</v>
      </c>
      <c r="H94" s="25">
        <f>H26</f>
        <v>139.19999999999999</v>
      </c>
      <c r="I94" s="25">
        <f>I26</f>
        <v>139.19999999999999</v>
      </c>
      <c r="J94" s="25">
        <f>J26</f>
        <v>139.19999999999999</v>
      </c>
      <c r="K94" s="25">
        <f>K26</f>
        <v>139.19999999999999</v>
      </c>
      <c r="L94" s="25">
        <f>L26</f>
        <v>139.19999999999999</v>
      </c>
      <c r="M94" s="25">
        <f>M26</f>
        <v>139.19999999999999</v>
      </c>
      <c r="N94" s="25">
        <f>N26</f>
        <v>139.19999999999999</v>
      </c>
      <c r="O94" s="25">
        <f>O26</f>
        <v>139.19999999999999</v>
      </c>
      <c r="P94" s="25">
        <f>P26</f>
        <v>139.19999999999999</v>
      </c>
      <c r="Q94" s="25">
        <f>Q26</f>
        <v>139.19999999999999</v>
      </c>
      <c r="R94" s="25">
        <f>R26</f>
        <v>139.19999999999999</v>
      </c>
    </row>
    <row r="95" spans="1:31">
      <c r="C95" s="24" t="s">
        <v>533</v>
      </c>
      <c r="D95" s="12"/>
      <c r="E95" s="12"/>
      <c r="F95" s="12"/>
      <c r="G95" s="25">
        <f>G60+G76+G80+G83+G87</f>
        <v>57521.099999999991</v>
      </c>
      <c r="H95" s="25">
        <f>H60+H76+H80+H83+H87</f>
        <v>57521.099999999991</v>
      </c>
      <c r="I95" s="25">
        <f>I60+I76+I80+I83+I87</f>
        <v>257521.09999999998</v>
      </c>
      <c r="J95" s="25">
        <f>J60+J76+J80+J83+J87</f>
        <v>157521.09999999998</v>
      </c>
      <c r="K95" s="25">
        <f>K60+K76+K80+K83+K87</f>
        <v>14948661.100000001</v>
      </c>
      <c r="L95" s="25">
        <f>L60+L76+L80+L83+L87</f>
        <v>59322081.100000009</v>
      </c>
      <c r="M95" s="25">
        <f>M60+M76+M80+M83+M87</f>
        <v>63432123.500000015</v>
      </c>
      <c r="N95" s="25">
        <f>N60+N76+N80+N83+N87</f>
        <v>63432123.500000015</v>
      </c>
      <c r="O95" s="25">
        <f>O60+O76+O80+O83+O87</f>
        <v>51596426.70000001</v>
      </c>
      <c r="P95" s="25">
        <f>P60+P76+P80+P83+P87</f>
        <v>63232123.500000015</v>
      </c>
      <c r="Q95" s="25">
        <f>Q60+Q76+Q80+Q83+Q87</f>
        <v>59222081.100000009</v>
      </c>
      <c r="R95" s="25">
        <f>R60+R76+R80+R83+R87</f>
        <v>63232123.500000015</v>
      </c>
      <c r="S95" s="1">
        <f>SUM(G95:R95)</f>
        <v>438947828.4000001</v>
      </c>
    </row>
    <row r="97" spans="1:20">
      <c r="C97" s="190" t="s">
        <v>534</v>
      </c>
      <c r="D97" s="12"/>
      <c r="E97" s="12"/>
      <c r="F97" s="12"/>
      <c r="G97" s="189">
        <f>G77+G81+G84+G88+G67</f>
        <v>1410671.4366666665</v>
      </c>
      <c r="H97" s="189">
        <f t="shared" ref="H97:R97" si="36">H77+H81+H84+H88+H67</f>
        <v>1410671.4366666665</v>
      </c>
      <c r="I97" s="189">
        <f t="shared" si="36"/>
        <v>1480671.4366666665</v>
      </c>
      <c r="J97" s="189">
        <f t="shared" si="36"/>
        <v>1445671.4366666665</v>
      </c>
      <c r="K97" s="189">
        <f t="shared" si="36"/>
        <v>10024532.636666667</v>
      </c>
      <c r="L97" s="189">
        <f t="shared" si="36"/>
        <v>35761116.236666672</v>
      </c>
      <c r="M97" s="189">
        <f t="shared" si="36"/>
        <v>38121940.82866668</v>
      </c>
      <c r="N97" s="189">
        <f t="shared" si="36"/>
        <v>38121940.82866668</v>
      </c>
      <c r="O97" s="189">
        <f t="shared" si="36"/>
        <v>31303236.684666671</v>
      </c>
      <c r="P97" s="189">
        <f t="shared" si="36"/>
        <v>38051940.82866668</v>
      </c>
      <c r="Q97" s="189">
        <f t="shared" si="36"/>
        <v>35726116.236666672</v>
      </c>
      <c r="R97" s="189">
        <f t="shared" si="36"/>
        <v>38051940.82866668</v>
      </c>
      <c r="S97" s="1">
        <f>SUM(G97:R97)</f>
        <v>270910450.85600007</v>
      </c>
    </row>
    <row r="98" spans="1:20">
      <c r="C98" s="190" t="s">
        <v>30</v>
      </c>
      <c r="D98" s="12"/>
      <c r="E98" s="12"/>
      <c r="F98" s="12"/>
      <c r="G98" s="189">
        <f>G25</f>
        <v>755039.23199999984</v>
      </c>
      <c r="H98" s="189">
        <f t="shared" ref="H98:R98" si="37">H25</f>
        <v>755040.23199999984</v>
      </c>
      <c r="I98" s="189">
        <f t="shared" si="37"/>
        <v>755040.23199999984</v>
      </c>
      <c r="J98" s="189">
        <f t="shared" si="37"/>
        <v>755040.23199999984</v>
      </c>
      <c r="K98" s="189">
        <f t="shared" si="37"/>
        <v>755040.23199999984</v>
      </c>
      <c r="L98" s="189">
        <f t="shared" si="37"/>
        <v>855194.24491428584</v>
      </c>
      <c r="M98" s="189">
        <f t="shared" si="37"/>
        <v>2017472.6945965716</v>
      </c>
      <c r="N98" s="189">
        <f t="shared" si="37"/>
        <v>2052688.8477623011</v>
      </c>
      <c r="O98" s="189">
        <f t="shared" si="37"/>
        <v>2050576.0869056904</v>
      </c>
      <c r="P98" s="189">
        <f t="shared" si="37"/>
        <v>1749683.2931970872</v>
      </c>
      <c r="Q98" s="189">
        <f t="shared" si="37"/>
        <v>2060956.4028184921</v>
      </c>
      <c r="R98" s="189">
        <f t="shared" si="37"/>
        <v>1941226.9651223193</v>
      </c>
      <c r="S98" s="1">
        <f>SUM(G98:R98)</f>
        <v>16502998.695316747</v>
      </c>
    </row>
    <row r="99" spans="1:20">
      <c r="C99" s="190" t="str">
        <f>C42</f>
        <v>Expenses</v>
      </c>
      <c r="D99" s="12"/>
      <c r="E99" s="12"/>
      <c r="F99" s="12"/>
      <c r="G99" s="189">
        <f>G42</f>
        <v>2055472.9084761902</v>
      </c>
      <c r="H99" s="189">
        <f t="shared" ref="H99:R99" si="38">H42</f>
        <v>1665212.9084761902</v>
      </c>
      <c r="I99" s="189">
        <f t="shared" si="38"/>
        <v>1665212.9084761902</v>
      </c>
      <c r="J99" s="189">
        <f t="shared" si="38"/>
        <v>1665254.5751428567</v>
      </c>
      <c r="K99" s="189">
        <f t="shared" si="38"/>
        <v>1665212.9084761902</v>
      </c>
      <c r="L99" s="189">
        <f t="shared" si="38"/>
        <v>1665212.9084761902</v>
      </c>
      <c r="M99" s="189">
        <f t="shared" si="38"/>
        <v>1665216.3806984122</v>
      </c>
      <c r="N99" s="189">
        <f t="shared" si="38"/>
        <v>1665212.9084761902</v>
      </c>
      <c r="O99" s="189">
        <f t="shared" si="38"/>
        <v>1665212.9084761902</v>
      </c>
      <c r="P99" s="189">
        <f t="shared" si="38"/>
        <v>1665213.1978280419</v>
      </c>
      <c r="Q99" s="189">
        <f t="shared" si="38"/>
        <v>1665212.9084761902</v>
      </c>
      <c r="R99" s="189">
        <f t="shared" si="38"/>
        <v>1665212.9084761902</v>
      </c>
      <c r="S99" s="1">
        <f>SUM(G99:R99)</f>
        <v>20372860.329955023</v>
      </c>
    </row>
    <row r="102" spans="1:20">
      <c r="C102" s="176" t="s">
        <v>535</v>
      </c>
      <c r="D102" s="12"/>
      <c r="E102" s="12"/>
      <c r="F102" s="12"/>
      <c r="G102" s="177">
        <f>G53</f>
        <v>33844876.60952381</v>
      </c>
      <c r="H102" s="177">
        <f t="shared" ref="H102:R102" si="39">H53</f>
        <v>45832215.466666661</v>
      </c>
      <c r="I102" s="177">
        <f t="shared" si="39"/>
        <v>17247770.666666668</v>
      </c>
      <c r="J102" s="177">
        <f t="shared" si="39"/>
        <v>17247770.666666668</v>
      </c>
      <c r="K102" s="177">
        <f t="shared" si="39"/>
        <v>17247770.666666668</v>
      </c>
      <c r="L102" s="177">
        <f t="shared" si="39"/>
        <v>3807770.6666666665</v>
      </c>
      <c r="M102" s="177">
        <f t="shared" si="39"/>
        <v>3807770.6666666665</v>
      </c>
      <c r="N102" s="177">
        <f t="shared" si="39"/>
        <v>3807770.6666666665</v>
      </c>
      <c r="O102" s="177">
        <f t="shared" si="39"/>
        <v>3807770.6666666665</v>
      </c>
      <c r="P102" s="177">
        <f t="shared" si="39"/>
        <v>3807770.6666666665</v>
      </c>
      <c r="Q102" s="177">
        <f t="shared" si="39"/>
        <v>3807770.6666666665</v>
      </c>
      <c r="R102" s="177">
        <f t="shared" si="39"/>
        <v>3807770.6666666665</v>
      </c>
      <c r="S102" s="1">
        <f>SUM(G102:R102)</f>
        <v>158074798.7428571</v>
      </c>
    </row>
    <row r="103" spans="1:20">
      <c r="C103" s="24" t="s">
        <v>223</v>
      </c>
      <c r="D103" s="12"/>
      <c r="E103" s="12"/>
      <c r="F103" s="12"/>
      <c r="G103" s="25">
        <f>G95/G94</f>
        <v>413.22629310344826</v>
      </c>
      <c r="H103" s="25">
        <f>H95/H94</f>
        <v>413.22629310344826</v>
      </c>
      <c r="I103" s="25">
        <f>I95/I94</f>
        <v>1850.0079022988505</v>
      </c>
      <c r="J103" s="25">
        <f>J95/J94</f>
        <v>1131.6170977011493</v>
      </c>
      <c r="K103" s="25">
        <f>K95/K94</f>
        <v>107389.80675287358</v>
      </c>
      <c r="L103" s="25">
        <f>L95/L94</f>
        <v>426164.37571839092</v>
      </c>
      <c r="M103" s="25">
        <f>M95/M94</f>
        <v>455690.5423850576</v>
      </c>
      <c r="N103" s="25">
        <f>N95/N94</f>
        <v>455690.5423850576</v>
      </c>
      <c r="O103" s="25">
        <f>O95/O94</f>
        <v>370663.98491379322</v>
      </c>
      <c r="P103" s="25">
        <f>P95/P94</f>
        <v>454253.7607758622</v>
      </c>
      <c r="Q103" s="25">
        <f>Q95/Q94</f>
        <v>425445.98491379322</v>
      </c>
      <c r="R103" s="25">
        <f>R95/R94</f>
        <v>454253.7607758622</v>
      </c>
    </row>
    <row r="104" spans="1:20">
      <c r="C104" s="24"/>
      <c r="D104" s="12"/>
      <c r="E104" s="12"/>
      <c r="F104" s="12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</row>
    <row r="105" spans="1:20" s="12" customFormat="1" ht="12" customHeight="1"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</row>
    <row r="106" spans="1:20">
      <c r="C106" s="105" t="s">
        <v>31</v>
      </c>
      <c r="D106" s="12"/>
      <c r="E106" s="12"/>
      <c r="F106" s="12"/>
      <c r="G106" s="106">
        <f>G95-G97-G98-G99-G102</f>
        <v>-38008539.086666666</v>
      </c>
      <c r="H106" s="106">
        <f>G106+H95-H97-H98-H99-H102</f>
        <v>-87614158.030476183</v>
      </c>
      <c r="I106" s="106">
        <f t="shared" ref="I106:R106" si="40">H106+I95-I97-I98-I99-I102</f>
        <v>-108505332.17428571</v>
      </c>
      <c r="J106" s="106">
        <f t="shared" si="40"/>
        <v>-129461547.98476191</v>
      </c>
      <c r="K106" s="106">
        <f t="shared" si="40"/>
        <v>-144205443.32857141</v>
      </c>
      <c r="L106" s="106">
        <f t="shared" si="40"/>
        <v>-126972656.28529522</v>
      </c>
      <c r="M106" s="106">
        <f t="shared" si="40"/>
        <v>-109152933.35592353</v>
      </c>
      <c r="N106" s="106">
        <f t="shared" si="40"/>
        <v>-91368423.107495353</v>
      </c>
      <c r="O106" s="106">
        <f t="shared" si="40"/>
        <v>-78598792.754210562</v>
      </c>
      <c r="P106" s="106">
        <f t="shared" si="40"/>
        <v>-60641277.240569018</v>
      </c>
      <c r="Q106" s="106">
        <f t="shared" si="40"/>
        <v>-44679252.355197027</v>
      </c>
      <c r="R106" s="106">
        <f t="shared" si="40"/>
        <v>-26913280.224128868</v>
      </c>
      <c r="S106" s="14"/>
    </row>
    <row r="107" spans="1:20" s="12" customFormat="1" ht="12" customHeight="1"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</row>
    <row r="108" spans="1:20" s="9" customFormat="1">
      <c r="A108" s="9" t="s">
        <v>536</v>
      </c>
    </row>
    <row r="109" spans="1:20" s="12" customFormat="1" ht="12" customHeight="1"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</row>
    <row r="110" spans="1:20">
      <c r="C110" s="12"/>
      <c r="D110" s="12"/>
      <c r="E110" s="12"/>
      <c r="F110" s="12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>
        <f>SUM(G110:R110)</f>
        <v>0</v>
      </c>
    </row>
    <row r="111" spans="1:20" ht="15" customHeight="1">
      <c r="C111" s="24" t="s">
        <v>78</v>
      </c>
      <c r="D111" s="12"/>
      <c r="E111" s="12"/>
      <c r="F111" s="12"/>
      <c r="G111" s="25">
        <f>G95</f>
        <v>57521.099999999991</v>
      </c>
      <c r="H111" s="25">
        <f t="shared" ref="H111:R111" si="41">H95</f>
        <v>57521.099999999991</v>
      </c>
      <c r="I111" s="25">
        <f t="shared" si="41"/>
        <v>257521.09999999998</v>
      </c>
      <c r="J111" s="25">
        <f t="shared" si="41"/>
        <v>157521.09999999998</v>
      </c>
      <c r="K111" s="25">
        <f t="shared" si="41"/>
        <v>14948661.100000001</v>
      </c>
      <c r="L111" s="25">
        <f t="shared" si="41"/>
        <v>59322081.100000009</v>
      </c>
      <c r="M111" s="25">
        <f t="shared" si="41"/>
        <v>63432123.500000015</v>
      </c>
      <c r="N111" s="25">
        <f t="shared" si="41"/>
        <v>63432123.500000015</v>
      </c>
      <c r="O111" s="25">
        <f t="shared" si="41"/>
        <v>51596426.70000001</v>
      </c>
      <c r="P111" s="25">
        <f t="shared" si="41"/>
        <v>63232123.500000015</v>
      </c>
      <c r="Q111" s="25">
        <f t="shared" si="41"/>
        <v>59222081.100000009</v>
      </c>
      <c r="R111" s="25">
        <f t="shared" si="41"/>
        <v>63232123.500000015</v>
      </c>
      <c r="S111" s="14">
        <f>SUM(G111:R111)</f>
        <v>438947828.4000001</v>
      </c>
    </row>
    <row r="112" spans="1:20">
      <c r="C112" s="24" t="s">
        <v>227</v>
      </c>
      <c r="D112" s="12"/>
      <c r="E112" s="12"/>
      <c r="F112" s="12"/>
      <c r="G112" s="25">
        <f>G95-G97-G98-G99</f>
        <v>-4163662.4771428565</v>
      </c>
      <c r="H112" s="25">
        <f>H95-H97-H98-H99</f>
        <v>-3773403.4771428565</v>
      </c>
      <c r="I112" s="25">
        <f>I95-I97-I98-I99</f>
        <v>-3643403.4771428565</v>
      </c>
      <c r="J112" s="25">
        <f>J95-J97-J98-J99</f>
        <v>-3708445.143809523</v>
      </c>
      <c r="K112" s="25">
        <f>K95-K97-K98-K99</f>
        <v>2503875.3228571448</v>
      </c>
      <c r="L112" s="25">
        <f>L95-L97-L98-L99</f>
        <v>21040557.709942862</v>
      </c>
      <c r="M112" s="25">
        <f>M95-M97-M98-M99</f>
        <v>21627493.596038353</v>
      </c>
      <c r="N112" s="25">
        <f>N95-N97-N98-N99</f>
        <v>21592280.915094845</v>
      </c>
      <c r="O112" s="25">
        <f>O95-O97-O98-O99</f>
        <v>16577401.019951457</v>
      </c>
      <c r="P112" s="25">
        <f>P95-P97-P98-P99</f>
        <v>21765286.180308204</v>
      </c>
      <c r="Q112" s="25">
        <f>Q95-Q97-Q98-Q99</f>
        <v>19769795.552038655</v>
      </c>
      <c r="R112" s="25">
        <f>R95-R97-R98-R99</f>
        <v>21573742.797734827</v>
      </c>
      <c r="S112" s="14">
        <f>SUM(G112:R112)</f>
        <v>131161518.51872826</v>
      </c>
    </row>
    <row r="113" spans="1:20">
      <c r="C113" s="12"/>
      <c r="D113" s="12"/>
      <c r="E113" s="12"/>
      <c r="F113" s="12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</row>
    <row r="114" spans="1:20">
      <c r="C114" s="103" t="s">
        <v>173</v>
      </c>
      <c r="D114" s="12"/>
      <c r="E114" s="12"/>
      <c r="F114" s="12"/>
      <c r="G114" s="104">
        <f>G83+G87</f>
        <v>0</v>
      </c>
      <c r="H114" s="104">
        <f>H83+H87</f>
        <v>0</v>
      </c>
      <c r="I114" s="104">
        <f>I83+I87</f>
        <v>200000</v>
      </c>
      <c r="J114" s="104">
        <f>J83+J87</f>
        <v>100000</v>
      </c>
      <c r="K114" s="104">
        <f>K83+K87</f>
        <v>100000</v>
      </c>
      <c r="L114" s="104">
        <f>L83+L87</f>
        <v>100000</v>
      </c>
      <c r="M114" s="104">
        <f>M83+M87</f>
        <v>200000</v>
      </c>
      <c r="N114" s="104">
        <f>N83+N87</f>
        <v>200000</v>
      </c>
      <c r="O114" s="104">
        <f>O83+O87</f>
        <v>0</v>
      </c>
      <c r="P114" s="104">
        <f>P83+P87</f>
        <v>0</v>
      </c>
      <c r="Q114" s="104">
        <f>Q83+Q87</f>
        <v>0</v>
      </c>
      <c r="R114" s="104">
        <f>R83+R87</f>
        <v>0</v>
      </c>
    </row>
    <row r="115" spans="1:20">
      <c r="C115" s="103" t="s">
        <v>174</v>
      </c>
      <c r="D115" s="12"/>
      <c r="E115" s="12"/>
      <c r="F115" s="12"/>
      <c r="G115" s="104">
        <f>G84+G88</f>
        <v>0</v>
      </c>
      <c r="H115" s="104">
        <f>H84+H88</f>
        <v>0</v>
      </c>
      <c r="I115" s="104">
        <f>I84+I88</f>
        <v>70000</v>
      </c>
      <c r="J115" s="104">
        <f>J84+J88</f>
        <v>35000</v>
      </c>
      <c r="K115" s="104">
        <f>K84+K88</f>
        <v>35000</v>
      </c>
      <c r="L115" s="104">
        <f>L84+L88</f>
        <v>35000</v>
      </c>
      <c r="M115" s="104">
        <f>M84+M88</f>
        <v>70000</v>
      </c>
      <c r="N115" s="104">
        <f>N84+N88</f>
        <v>70000</v>
      </c>
      <c r="O115" s="104">
        <f>O84+O88</f>
        <v>0</v>
      </c>
      <c r="P115" s="104">
        <f>P84+P88</f>
        <v>0</v>
      </c>
      <c r="Q115" s="104">
        <f>Q84+Q88</f>
        <v>0</v>
      </c>
      <c r="R115" s="104">
        <f>R84+R88</f>
        <v>0</v>
      </c>
    </row>
    <row r="116" spans="1:20">
      <c r="C116" s="12"/>
      <c r="D116" s="12"/>
      <c r="E116" s="12"/>
      <c r="F116" s="12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</row>
    <row r="117" spans="1:20" s="9" customFormat="1">
      <c r="A117" s="9" t="s">
        <v>119</v>
      </c>
      <c r="D117" s="12"/>
      <c r="E117" s="12"/>
      <c r="F117" s="12"/>
      <c r="G117" s="11">
        <v>1</v>
      </c>
      <c r="H117" s="11">
        <v>2</v>
      </c>
      <c r="I117" s="11">
        <v>3</v>
      </c>
      <c r="J117" s="11">
        <v>4</v>
      </c>
      <c r="K117" s="11">
        <v>5</v>
      </c>
      <c r="L117" s="11">
        <v>6</v>
      </c>
      <c r="M117" s="11">
        <v>7</v>
      </c>
      <c r="N117" s="11">
        <v>8</v>
      </c>
      <c r="O117" s="11">
        <v>9</v>
      </c>
      <c r="P117" s="11">
        <v>10</v>
      </c>
      <c r="Q117" s="11">
        <v>11</v>
      </c>
      <c r="R117" s="11">
        <v>12</v>
      </c>
      <c r="S117" s="11">
        <f>SUM(G117:R117)</f>
        <v>78</v>
      </c>
      <c r="T117" s="11"/>
    </row>
    <row r="118" spans="1:20">
      <c r="J118" t="s">
        <v>222</v>
      </c>
      <c r="K118" s="2">
        <v>0.32</v>
      </c>
      <c r="M118" t="s">
        <v>313</v>
      </c>
      <c r="S118" s="1">
        <f>SUM(G118:R118)</f>
        <v>0.32</v>
      </c>
    </row>
    <row r="119" spans="1:20">
      <c r="C119" t="s">
        <v>497</v>
      </c>
      <c r="D119" s="235">
        <v>10</v>
      </c>
      <c r="H119" t="s">
        <v>16</v>
      </c>
      <c r="I119" t="s">
        <v>310</v>
      </c>
      <c r="J119" t="s">
        <v>34</v>
      </c>
      <c r="K119" t="s">
        <v>309</v>
      </c>
      <c r="L119" t="s">
        <v>311</v>
      </c>
      <c r="M119" t="s">
        <v>312</v>
      </c>
      <c r="N119" t="s">
        <v>19</v>
      </c>
      <c r="O119" t="s">
        <v>21</v>
      </c>
      <c r="P119" t="s">
        <v>20</v>
      </c>
      <c r="R119" t="s">
        <v>77</v>
      </c>
      <c r="S119"/>
      <c r="T119" s="12"/>
    </row>
    <row r="120" spans="1:20">
      <c r="C120" s="158" t="s">
        <v>14</v>
      </c>
      <c r="D120" s="236">
        <v>1</v>
      </c>
      <c r="E120" s="159"/>
      <c r="F120" s="160">
        <v>0.5</v>
      </c>
      <c r="G120" s="161">
        <f>$D$131*D158</f>
        <v>40000</v>
      </c>
      <c r="H120" s="162">
        <v>5.0000000000000001E-3</v>
      </c>
      <c r="I120" s="162">
        <v>5.0000000000000001E-3</v>
      </c>
      <c r="J120" s="162">
        <v>5.0000000000000001E-3</v>
      </c>
      <c r="K120" s="163">
        <v>1E-3</v>
      </c>
      <c r="L120" s="164">
        <v>0.1</v>
      </c>
      <c r="M120" s="181">
        <f t="shared" ref="M120:M126" si="42">-ROUND(L120*N120,0)</f>
        <v>-333</v>
      </c>
      <c r="N120" s="160">
        <f t="shared" ref="N120:N126" si="43">ROUND(G120/12,0)</f>
        <v>3333</v>
      </c>
      <c r="O120" s="159">
        <f t="shared" ref="O120:O126" si="44">$K$118*N120</f>
        <v>1066.56</v>
      </c>
      <c r="P120" s="165">
        <f t="shared" ref="P120:P126" si="45">O120+N120</f>
        <v>4399.5599999999995</v>
      </c>
      <c r="S120"/>
      <c r="T120" s="12"/>
    </row>
    <row r="121" spans="1:20">
      <c r="C121" s="166" t="s">
        <v>15</v>
      </c>
      <c r="D121" s="237">
        <v>1</v>
      </c>
      <c r="E121" s="140"/>
      <c r="F121" s="110">
        <v>0.5</v>
      </c>
      <c r="G121" s="161">
        <f t="shared" ref="G121:G128" si="46">$D$131*D159</f>
        <v>75000</v>
      </c>
      <c r="H121" s="142">
        <v>5.0000000000000001E-3</v>
      </c>
      <c r="I121" s="142">
        <v>5.0000000000000001E-3</v>
      </c>
      <c r="J121" s="142">
        <v>5.0000000000000001E-3</v>
      </c>
      <c r="K121" s="18">
        <v>1E-3</v>
      </c>
      <c r="L121" s="16">
        <v>0.1</v>
      </c>
      <c r="M121" s="182">
        <f t="shared" si="42"/>
        <v>-625</v>
      </c>
      <c r="N121" s="110">
        <f t="shared" si="43"/>
        <v>6250</v>
      </c>
      <c r="O121" s="140">
        <f t="shared" si="44"/>
        <v>2000</v>
      </c>
      <c r="P121" s="167">
        <f t="shared" si="45"/>
        <v>8250</v>
      </c>
      <c r="S121"/>
      <c r="T121" s="12"/>
    </row>
    <row r="122" spans="1:20">
      <c r="C122" s="166" t="s">
        <v>50</v>
      </c>
      <c r="D122" s="237">
        <v>3</v>
      </c>
      <c r="E122" s="140"/>
      <c r="F122" s="110">
        <v>3</v>
      </c>
      <c r="G122" s="161">
        <f t="shared" si="46"/>
        <v>120000</v>
      </c>
      <c r="H122" s="142">
        <v>5.0000000000000001E-3</v>
      </c>
      <c r="I122" s="142">
        <v>5.0000000000000001E-3</v>
      </c>
      <c r="J122" s="142">
        <v>5.0000000000000001E-3</v>
      </c>
      <c r="K122" s="18">
        <v>0.05</v>
      </c>
      <c r="L122" s="16">
        <v>0.2</v>
      </c>
      <c r="M122" s="182">
        <f t="shared" si="42"/>
        <v>-2000</v>
      </c>
      <c r="N122" s="110">
        <f t="shared" si="43"/>
        <v>10000</v>
      </c>
      <c r="O122" s="140">
        <f t="shared" si="44"/>
        <v>3200</v>
      </c>
      <c r="P122" s="167">
        <f t="shared" si="45"/>
        <v>13200</v>
      </c>
      <c r="S122"/>
      <c r="T122" s="12"/>
    </row>
    <row r="123" spans="1:20">
      <c r="C123" s="166" t="s">
        <v>235</v>
      </c>
      <c r="D123" s="237">
        <v>3</v>
      </c>
      <c r="E123" s="140"/>
      <c r="F123" s="110">
        <v>3</v>
      </c>
      <c r="G123" s="161">
        <f t="shared" si="46"/>
        <v>75000</v>
      </c>
      <c r="H123" s="142">
        <v>5.0000000000000001E-3</v>
      </c>
      <c r="I123" s="142">
        <v>5.0000000000000001E-3</v>
      </c>
      <c r="J123" s="142">
        <v>5.0000000000000001E-3</v>
      </c>
      <c r="K123" s="18">
        <v>0.01</v>
      </c>
      <c r="L123" s="16">
        <v>0.1</v>
      </c>
      <c r="M123" s="182">
        <f t="shared" si="42"/>
        <v>-625</v>
      </c>
      <c r="N123" s="110">
        <f t="shared" si="43"/>
        <v>6250</v>
      </c>
      <c r="O123" s="140">
        <f t="shared" si="44"/>
        <v>2000</v>
      </c>
      <c r="P123" s="167">
        <f t="shared" si="45"/>
        <v>8250</v>
      </c>
      <c r="S123"/>
      <c r="T123" s="12"/>
    </row>
    <row r="124" spans="1:20">
      <c r="C124" s="166" t="s">
        <v>171</v>
      </c>
      <c r="D124" s="237">
        <v>0.4</v>
      </c>
      <c r="E124" s="140"/>
      <c r="F124" s="110"/>
      <c r="G124" s="161">
        <f t="shared" si="46"/>
        <v>40000</v>
      </c>
      <c r="H124" s="142">
        <v>5.0000000000000001E-3</v>
      </c>
      <c r="I124" s="142">
        <v>5.0000000000000001E-3</v>
      </c>
      <c r="J124" s="142">
        <v>5.0000000000000001E-3</v>
      </c>
      <c r="K124" s="18">
        <v>0.01</v>
      </c>
      <c r="L124" s="16">
        <v>0.1</v>
      </c>
      <c r="M124" s="182">
        <f t="shared" si="42"/>
        <v>-333</v>
      </c>
      <c r="N124" s="110">
        <f t="shared" si="43"/>
        <v>3333</v>
      </c>
      <c r="O124" s="140">
        <f t="shared" si="44"/>
        <v>1066.56</v>
      </c>
      <c r="P124" s="167">
        <f t="shared" si="45"/>
        <v>4399.5599999999995</v>
      </c>
      <c r="S124"/>
      <c r="T124" s="12"/>
    </row>
    <row r="125" spans="1:20">
      <c r="C125" s="166" t="s">
        <v>52</v>
      </c>
      <c r="D125" s="237">
        <v>0.5</v>
      </c>
      <c r="E125" s="140"/>
      <c r="F125" s="110"/>
      <c r="G125" s="161">
        <f t="shared" si="46"/>
        <v>120000</v>
      </c>
      <c r="H125" s="142">
        <v>5.0000000000000001E-3</v>
      </c>
      <c r="I125" s="142">
        <v>5.0000000000000001E-3</v>
      </c>
      <c r="J125" s="142">
        <v>5.0000000000000001E-3</v>
      </c>
      <c r="K125" s="18">
        <v>0.05</v>
      </c>
      <c r="L125" s="16">
        <v>0.2</v>
      </c>
      <c r="M125" s="182">
        <f t="shared" si="42"/>
        <v>-2000</v>
      </c>
      <c r="N125" s="110">
        <f t="shared" si="43"/>
        <v>10000</v>
      </c>
      <c r="O125" s="140">
        <f t="shared" si="44"/>
        <v>3200</v>
      </c>
      <c r="P125" s="167">
        <f t="shared" si="45"/>
        <v>13200</v>
      </c>
      <c r="S125"/>
      <c r="T125" s="12"/>
    </row>
    <row r="126" spans="1:20">
      <c r="C126" s="166" t="s">
        <v>233</v>
      </c>
      <c r="D126" s="237">
        <v>6</v>
      </c>
      <c r="E126" s="140"/>
      <c r="F126" s="110">
        <v>3</v>
      </c>
      <c r="G126" s="161">
        <f t="shared" si="46"/>
        <v>40000</v>
      </c>
      <c r="H126" s="142">
        <v>5.0000000000000001E-3</v>
      </c>
      <c r="I126" s="142">
        <v>5.0000000000000001E-3</v>
      </c>
      <c r="J126" s="142">
        <v>5.0000000000000001E-3</v>
      </c>
      <c r="K126" s="18">
        <v>0.01</v>
      </c>
      <c r="L126" s="16">
        <v>0.1</v>
      </c>
      <c r="M126" s="182">
        <f t="shared" si="42"/>
        <v>-333</v>
      </c>
      <c r="N126" s="110">
        <f t="shared" si="43"/>
        <v>3333</v>
      </c>
      <c r="O126" s="140">
        <f t="shared" si="44"/>
        <v>1066.56</v>
      </c>
      <c r="P126" s="167">
        <f t="shared" si="45"/>
        <v>4399.5599999999995</v>
      </c>
      <c r="S126"/>
      <c r="T126" s="12"/>
    </row>
    <row r="127" spans="1:20">
      <c r="C127" s="166"/>
      <c r="D127" s="110"/>
      <c r="E127" s="110"/>
      <c r="F127" s="110"/>
      <c r="G127" s="161">
        <f t="shared" si="46"/>
        <v>0</v>
      </c>
      <c r="H127" s="110"/>
      <c r="I127" s="110"/>
      <c r="J127" s="110"/>
      <c r="K127" s="17"/>
      <c r="L127" s="17"/>
      <c r="M127" s="17"/>
      <c r="N127" s="110"/>
      <c r="O127" s="110"/>
      <c r="P127" s="168"/>
      <c r="S127"/>
      <c r="T127" s="12"/>
    </row>
    <row r="128" spans="1:20">
      <c r="C128" s="166" t="s">
        <v>18</v>
      </c>
      <c r="D128" s="110"/>
      <c r="E128" s="110"/>
      <c r="F128" s="110"/>
      <c r="G128" s="161">
        <f t="shared" si="46"/>
        <v>2800</v>
      </c>
      <c r="H128" s="144">
        <f>SUM(H120:H126)</f>
        <v>3.5000000000000003E-2</v>
      </c>
      <c r="I128" s="144">
        <f>SUM(I120:I126)</f>
        <v>3.5000000000000003E-2</v>
      </c>
      <c r="J128" s="144">
        <f>SUM(J120:J126)</f>
        <v>3.5000000000000003E-2</v>
      </c>
      <c r="K128" s="19"/>
      <c r="L128" s="17" t="s">
        <v>314</v>
      </c>
      <c r="M128" s="17"/>
      <c r="N128" s="110"/>
      <c r="O128" s="110"/>
      <c r="P128" s="168"/>
      <c r="S128"/>
      <c r="T128" s="12"/>
    </row>
    <row r="129" spans="2:21">
      <c r="C129" s="169"/>
      <c r="D129" s="170"/>
      <c r="E129" s="170"/>
      <c r="F129" s="170"/>
      <c r="G129" s="170"/>
      <c r="H129" s="170"/>
      <c r="I129" s="170"/>
      <c r="J129" s="170"/>
      <c r="K129" s="171"/>
      <c r="L129" s="171"/>
      <c r="M129" s="171"/>
      <c r="N129" s="170"/>
      <c r="O129" s="170"/>
      <c r="P129" s="172"/>
      <c r="U129" s="1"/>
    </row>
    <row r="130" spans="2:21">
      <c r="J130" s="15"/>
      <c r="U130" s="1"/>
    </row>
    <row r="131" spans="2:21">
      <c r="C131" t="s">
        <v>487</v>
      </c>
      <c r="D131" s="220">
        <f>'JPods Summary'!F21</f>
        <v>1</v>
      </c>
      <c r="N131" s="5"/>
      <c r="U131" s="1"/>
    </row>
    <row r="132" spans="2:21" ht="14">
      <c r="D132" s="110"/>
      <c r="E132" s="124" t="s">
        <v>461</v>
      </c>
      <c r="N132" s="5"/>
      <c r="U132" s="1"/>
    </row>
    <row r="133" spans="2:21">
      <c r="B133" t="s">
        <v>493</v>
      </c>
      <c r="D133" s="221">
        <f>'JPods Summary'!F23</f>
        <v>6</v>
      </c>
      <c r="N133" s="5"/>
      <c r="U133" s="1"/>
    </row>
    <row r="134" spans="2:21">
      <c r="B134" s="24" t="s">
        <v>492</v>
      </c>
      <c r="C134" s="24"/>
      <c r="D134" s="222">
        <f>'JPods Summary'!F24</f>
        <v>0.4</v>
      </c>
      <c r="N134" s="5"/>
      <c r="U134" s="1"/>
    </row>
    <row r="135" spans="2:21">
      <c r="B135" s="24" t="s">
        <v>51</v>
      </c>
      <c r="C135" s="24"/>
      <c r="D135" s="153">
        <v>14</v>
      </c>
      <c r="N135" s="5"/>
      <c r="U135" s="1"/>
    </row>
    <row r="136" spans="2:21" s="197" customFormat="1">
      <c r="D136" s="110"/>
      <c r="N136" s="206"/>
      <c r="S136" s="204"/>
      <c r="T136" s="205"/>
      <c r="U136" s="204"/>
    </row>
    <row r="137" spans="2:21">
      <c r="D137" s="110"/>
      <c r="N137" s="5"/>
      <c r="U137" s="1"/>
    </row>
    <row r="138" spans="2:21" s="197" customFormat="1">
      <c r="S138" s="204"/>
      <c r="T138" s="205"/>
      <c r="U138" s="204"/>
    </row>
    <row r="139" spans="2:21">
      <c r="B139" s="24" t="s">
        <v>142</v>
      </c>
      <c r="C139" s="24"/>
      <c r="D139" s="223">
        <v>4000</v>
      </c>
      <c r="E139" s="120"/>
      <c r="F139" s="12"/>
      <c r="R139" s="1"/>
      <c r="T139" s="12"/>
    </row>
    <row r="140" spans="2:21">
      <c r="B140" s="24" t="s">
        <v>87</v>
      </c>
      <c r="C140" s="24"/>
      <c r="D140" s="224">
        <v>6000</v>
      </c>
      <c r="E140" s="120"/>
      <c r="F140" s="12"/>
      <c r="Q140" s="1"/>
      <c r="R140" s="1"/>
      <c r="S140"/>
      <c r="T140" s="12"/>
    </row>
    <row r="141" spans="2:21">
      <c r="B141" s="24" t="s">
        <v>151</v>
      </c>
      <c r="C141" s="24"/>
      <c r="D141" s="224">
        <v>350</v>
      </c>
      <c r="E141" s="120"/>
      <c r="F141" s="12" t="s">
        <v>153</v>
      </c>
      <c r="P141" s="1"/>
      <c r="Q141" s="1"/>
      <c r="S141"/>
      <c r="T141" s="12"/>
    </row>
    <row r="142" spans="2:21">
      <c r="B142" s="24" t="s">
        <v>152</v>
      </c>
      <c r="C142" s="24"/>
      <c r="D142" s="225">
        <v>300</v>
      </c>
      <c r="E142" s="121"/>
      <c r="F142" s="145">
        <v>0.3</v>
      </c>
      <c r="P142" s="1"/>
      <c r="Q142" s="1"/>
      <c r="S142"/>
      <c r="T142" s="12"/>
    </row>
    <row r="143" spans="2:21">
      <c r="B143" s="24" t="s">
        <v>148</v>
      </c>
      <c r="C143" s="24"/>
      <c r="D143" s="146">
        <v>0.1</v>
      </c>
      <c r="E143" s="121"/>
      <c r="F143" s="224">
        <v>200</v>
      </c>
    </row>
    <row r="144" spans="2:21">
      <c r="B144" s="24" t="s">
        <v>17</v>
      </c>
      <c r="C144" s="24"/>
      <c r="D144" s="147">
        <v>0.08</v>
      </c>
      <c r="E144" s="122"/>
      <c r="F144" s="224">
        <v>200</v>
      </c>
    </row>
    <row r="145" spans="2:6">
      <c r="B145" s="24" t="s">
        <v>147</v>
      </c>
      <c r="C145" s="24"/>
      <c r="D145" s="146">
        <v>0.1</v>
      </c>
      <c r="E145" s="13"/>
      <c r="F145" s="12" t="s">
        <v>154</v>
      </c>
    </row>
    <row r="146" spans="2:6">
      <c r="B146" s="24" t="s">
        <v>149</v>
      </c>
      <c r="C146" s="24"/>
      <c r="D146" s="224">
        <v>50</v>
      </c>
      <c r="E146" s="123"/>
      <c r="F146" s="12" t="s">
        <v>153</v>
      </c>
    </row>
    <row r="147" spans="2:6">
      <c r="B147" s="24" t="s">
        <v>18</v>
      </c>
      <c r="C147" s="24"/>
      <c r="D147" s="224">
        <v>2800</v>
      </c>
      <c r="E147" s="123"/>
      <c r="F147" s="12"/>
    </row>
    <row r="148" spans="2:6">
      <c r="B148" s="24" t="s">
        <v>144</v>
      </c>
      <c r="C148" s="24"/>
      <c r="D148" s="224">
        <v>60</v>
      </c>
      <c r="E148" s="124"/>
      <c r="F148" s="12"/>
    </row>
    <row r="149" spans="2:6">
      <c r="B149" s="24" t="s">
        <v>151</v>
      </c>
      <c r="D149">
        <v>50000</v>
      </c>
      <c r="F149" t="s">
        <v>496</v>
      </c>
    </row>
    <row r="154" spans="2:6">
      <c r="B154" s="103" t="s">
        <v>90</v>
      </c>
      <c r="C154" s="103"/>
      <c r="D154" s="155">
        <v>100000</v>
      </c>
      <c r="E154" s="156"/>
    </row>
    <row r="155" spans="2:6">
      <c r="B155" s="103" t="s">
        <v>91</v>
      </c>
      <c r="C155" s="103"/>
      <c r="D155" s="155">
        <v>0</v>
      </c>
      <c r="E155" s="157"/>
    </row>
    <row r="156" spans="2:6">
      <c r="B156" s="107" t="s">
        <v>384</v>
      </c>
      <c r="C156" s="107"/>
      <c r="D156" s="155">
        <v>8000000</v>
      </c>
      <c r="E156" s="157"/>
    </row>
    <row r="157" spans="2:6">
      <c r="E157" s="157"/>
    </row>
    <row r="158" spans="2:6">
      <c r="C158" s="158" t="s">
        <v>14</v>
      </c>
      <c r="D158" s="161">
        <v>40000</v>
      </c>
      <c r="E158" s="159"/>
      <c r="F158" s="160"/>
    </row>
    <row r="159" spans="2:6">
      <c r="C159" s="166" t="s">
        <v>15</v>
      </c>
      <c r="D159" s="141">
        <v>75000</v>
      </c>
      <c r="E159" s="140"/>
      <c r="F159" s="110"/>
    </row>
    <row r="160" spans="2:6">
      <c r="C160" s="166" t="s">
        <v>50</v>
      </c>
      <c r="D160" s="141">
        <v>120000</v>
      </c>
      <c r="E160" s="140"/>
      <c r="F160" s="110"/>
    </row>
    <row r="161" spans="3:9">
      <c r="C161" s="166" t="s">
        <v>235</v>
      </c>
      <c r="D161" s="141">
        <v>75000</v>
      </c>
      <c r="E161" s="140"/>
      <c r="F161" s="110"/>
    </row>
    <row r="162" spans="3:9">
      <c r="C162" s="166" t="s">
        <v>171</v>
      </c>
      <c r="D162" s="141">
        <v>40000</v>
      </c>
      <c r="E162" s="140"/>
      <c r="F162" s="110"/>
    </row>
    <row r="163" spans="3:9">
      <c r="C163" s="166" t="s">
        <v>52</v>
      </c>
      <c r="D163" s="141">
        <v>120000</v>
      </c>
      <c r="E163" s="140"/>
      <c r="F163" s="110"/>
    </row>
    <row r="164" spans="3:9">
      <c r="C164" s="166" t="s">
        <v>233</v>
      </c>
      <c r="D164" s="141">
        <v>40000</v>
      </c>
      <c r="E164" s="140"/>
      <c r="F164" s="110"/>
    </row>
    <row r="165" spans="3:9">
      <c r="C165" s="166"/>
      <c r="D165" s="141"/>
      <c r="E165" s="110"/>
      <c r="F165" s="110"/>
    </row>
    <row r="166" spans="3:9">
      <c r="C166" s="166" t="s">
        <v>18</v>
      </c>
      <c r="D166" s="143">
        <v>2800</v>
      </c>
      <c r="E166" s="110"/>
      <c r="F166" s="110"/>
    </row>
    <row r="169" spans="3:9">
      <c r="D169" s="1"/>
      <c r="E169" s="1"/>
      <c r="F169" s="3"/>
      <c r="G169" s="3"/>
      <c r="H169" s="3"/>
      <c r="I169" s="3"/>
    </row>
  </sheetData>
  <phoneticPr fontId="3"/>
  <pageMargins left="0.35" right="0.35" top="0.75" bottom="0.75" header="0.5" footer="0.5"/>
  <pageSetup scale="35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Y91"/>
  <sheetViews>
    <sheetView tabSelected="1" topLeftCell="A23" workbookViewId="0">
      <pane xSplit="14100" topLeftCell="P1" activePane="topRight"/>
      <selection activeCell="S45" sqref="S45"/>
      <selection pane="topRight" activeCell="T58" sqref="T58"/>
    </sheetView>
  </sheetViews>
  <sheetFormatPr baseColWidth="10" defaultRowHeight="13" x14ac:dyDescent="0"/>
  <cols>
    <col min="1" max="1" width="4.7109375" customWidth="1"/>
    <col min="2" max="2" width="16.85546875" customWidth="1"/>
    <col min="3" max="3" width="5" customWidth="1"/>
    <col min="4" max="16" width="13.7109375" customWidth="1"/>
    <col min="18" max="18" width="8.28515625" customWidth="1"/>
    <col min="19" max="19" width="22.5703125" customWidth="1"/>
    <col min="20" max="25" width="13.28515625" customWidth="1"/>
  </cols>
  <sheetData>
    <row r="1" spans="1:25">
      <c r="T1" t="s">
        <v>494</v>
      </c>
    </row>
    <row r="3" spans="1:25">
      <c r="A3" t="s">
        <v>266</v>
      </c>
      <c r="C3" t="s">
        <v>132</v>
      </c>
      <c r="D3">
        <v>0.5</v>
      </c>
      <c r="J3">
        <v>0.5</v>
      </c>
      <c r="R3" t="s">
        <v>506</v>
      </c>
      <c r="T3">
        <f>System!D3</f>
        <v>24</v>
      </c>
      <c r="U3">
        <f>'JPods Summary'!F29</f>
        <v>0</v>
      </c>
      <c r="V3">
        <f>'JPods Summary'!F30</f>
        <v>0</v>
      </c>
      <c r="W3">
        <f>'JPods Summary'!F31</f>
        <v>0</v>
      </c>
      <c r="X3">
        <f>'JPods Summary'!F32</f>
        <v>0</v>
      </c>
    </row>
    <row r="4" spans="1:25">
      <c r="R4" t="s">
        <v>266</v>
      </c>
      <c r="T4">
        <f>T3</f>
        <v>24</v>
      </c>
      <c r="U4">
        <f>T4+U3</f>
        <v>24</v>
      </c>
      <c r="V4">
        <f>U4+V3</f>
        <v>24</v>
      </c>
      <c r="W4">
        <f t="shared" ref="W4:X4" si="0">V4+W3</f>
        <v>24</v>
      </c>
      <c r="X4">
        <f t="shared" si="0"/>
        <v>24</v>
      </c>
    </row>
    <row r="5" spans="1:25">
      <c r="D5" t="str">
        <f>CashFlow!G7</f>
        <v>Sep</v>
      </c>
      <c r="E5" t="str">
        <f>CashFlow!H7</f>
        <v>Oct</v>
      </c>
      <c r="F5" t="str">
        <f>CashFlow!I7</f>
        <v>Nov</v>
      </c>
      <c r="G5" t="str">
        <f>CashFlow!J7</f>
        <v>Dec</v>
      </c>
      <c r="H5" t="str">
        <f>CashFlow!K7</f>
        <v>Jan</v>
      </c>
      <c r="I5" t="str">
        <f>CashFlow!L7</f>
        <v>Feb</v>
      </c>
      <c r="J5" t="str">
        <f>CashFlow!M7</f>
        <v>Mar</v>
      </c>
      <c r="K5" t="str">
        <f>CashFlow!N7</f>
        <v>Apr</v>
      </c>
      <c r="L5" t="str">
        <f>CashFlow!O7</f>
        <v>May</v>
      </c>
      <c r="M5" t="str">
        <f>CashFlow!P7</f>
        <v>Jun</v>
      </c>
      <c r="N5" t="str">
        <f>CashFlow!Q7</f>
        <v>Jul</v>
      </c>
      <c r="O5" t="str">
        <f>CashFlow!R7</f>
        <v>Aug</v>
      </c>
      <c r="P5" t="s">
        <v>116</v>
      </c>
      <c r="T5" t="s">
        <v>40</v>
      </c>
      <c r="U5" t="s">
        <v>41</v>
      </c>
      <c r="V5" t="s">
        <v>42</v>
      </c>
      <c r="W5" t="s">
        <v>43</v>
      </c>
      <c r="X5" t="s">
        <v>44</v>
      </c>
    </row>
    <row r="6" spans="1:25">
      <c r="A6" t="s">
        <v>36</v>
      </c>
      <c r="R6" t="s">
        <v>36</v>
      </c>
    </row>
    <row r="7" spans="1:25">
      <c r="B7" t="str">
        <f>CashFlow!B59</f>
        <v>Tickets</v>
      </c>
      <c r="D7" s="1">
        <f>CashFlow!G60</f>
        <v>0</v>
      </c>
      <c r="E7" s="1">
        <f>CashFlow!H60</f>
        <v>0</v>
      </c>
      <c r="F7" s="1">
        <f>CashFlow!I60</f>
        <v>0</v>
      </c>
      <c r="G7" s="1">
        <f>CashFlow!J60</f>
        <v>0</v>
      </c>
      <c r="H7" s="1">
        <f>CashFlow!K60</f>
        <v>14791140.000000002</v>
      </c>
      <c r="I7" s="1">
        <f>CashFlow!L60</f>
        <v>59164560.000000007</v>
      </c>
      <c r="J7" s="1">
        <f>CashFlow!M60</f>
        <v>63174602.400000013</v>
      </c>
      <c r="K7" s="1">
        <f>CashFlow!N60</f>
        <v>63174602.400000013</v>
      </c>
      <c r="L7" s="1">
        <f>CashFlow!O60</f>
        <v>51538905.600000009</v>
      </c>
      <c r="M7" s="1">
        <f>CashFlow!P60</f>
        <v>63174602.400000013</v>
      </c>
      <c r="N7" s="1">
        <f>CashFlow!Q60</f>
        <v>59164560.000000007</v>
      </c>
      <c r="O7" s="1">
        <f>CashFlow!R60</f>
        <v>63174602.400000013</v>
      </c>
      <c r="P7" s="1">
        <f>SUM(D7:O7)</f>
        <v>437357575.20000011</v>
      </c>
      <c r="Q7" t="s">
        <v>475</v>
      </c>
      <c r="R7" s="2">
        <v>1</v>
      </c>
      <c r="S7" t="str">
        <f>B7</f>
        <v>Tickets</v>
      </c>
      <c r="T7" s="1">
        <f>P7</f>
        <v>437357575.20000011</v>
      </c>
      <c r="U7" s="1">
        <f>T7*R7</f>
        <v>437357575.20000011</v>
      </c>
      <c r="V7" s="1">
        <f>U7*R7</f>
        <v>437357575.20000011</v>
      </c>
      <c r="W7" s="1">
        <f>T7+R7</f>
        <v>437357576.20000011</v>
      </c>
      <c r="X7" s="1">
        <f>T7*R7</f>
        <v>437357575.20000011</v>
      </c>
    </row>
    <row r="8" spans="1:25">
      <c r="B8" t="str">
        <f>CashFlow!B75</f>
        <v>Mail order</v>
      </c>
      <c r="D8" s="1">
        <f>CashFlow!G76</f>
        <v>57521.099999999991</v>
      </c>
      <c r="E8" s="1">
        <f>CashFlow!H76</f>
        <v>57521.099999999991</v>
      </c>
      <c r="F8" s="1">
        <f>CashFlow!I76</f>
        <v>57521.099999999991</v>
      </c>
      <c r="G8" s="1">
        <f>CashFlow!J76</f>
        <v>57521.099999999991</v>
      </c>
      <c r="H8" s="1">
        <f>CashFlow!K76</f>
        <v>57521.099999999991</v>
      </c>
      <c r="I8" s="1">
        <f>CashFlow!L76</f>
        <v>57521.099999999991</v>
      </c>
      <c r="J8" s="1">
        <f>CashFlow!M76</f>
        <v>57521.099999999991</v>
      </c>
      <c r="K8" s="1">
        <f>CashFlow!N76</f>
        <v>57521.099999999991</v>
      </c>
      <c r="L8" s="1">
        <f>CashFlow!O76</f>
        <v>57521.099999999991</v>
      </c>
      <c r="M8" s="1">
        <f>CashFlow!P76</f>
        <v>57521.099999999991</v>
      </c>
      <c r="N8" s="1">
        <f>CashFlow!Q76</f>
        <v>57521.099999999991</v>
      </c>
      <c r="O8" s="1">
        <f>CashFlow!R76</f>
        <v>57521.099999999991</v>
      </c>
      <c r="P8" s="1">
        <f t="shared" ref="P8:P51" si="1">SUM(D8:O8)</f>
        <v>690253.19999999984</v>
      </c>
      <c r="R8" s="2">
        <v>1</v>
      </c>
      <c r="S8" t="str">
        <f t="shared" ref="S8:S10" si="2">B8</f>
        <v>Mail order</v>
      </c>
      <c r="T8" s="1">
        <f t="shared" ref="T8:T10" si="3">P8</f>
        <v>690253.19999999984</v>
      </c>
      <c r="U8" s="1">
        <f>T8*$R$8</f>
        <v>690253.19999999984</v>
      </c>
      <c r="V8" s="1">
        <f>U8*R8</f>
        <v>690253.19999999984</v>
      </c>
      <c r="W8" s="1">
        <f>V8*R8</f>
        <v>690253.19999999984</v>
      </c>
      <c r="X8" s="1">
        <f>W8*R8</f>
        <v>690253.19999999984</v>
      </c>
    </row>
    <row r="9" spans="1:25">
      <c r="B9" t="str">
        <f>CashFlow!B82</f>
        <v>Sponsorships</v>
      </c>
      <c r="D9" s="1">
        <f>CashFlow!G83</f>
        <v>0</v>
      </c>
      <c r="E9" s="1">
        <f>CashFlow!H83</f>
        <v>0</v>
      </c>
      <c r="F9" s="1">
        <f>CashFlow!I83</f>
        <v>200000</v>
      </c>
      <c r="G9" s="1">
        <f>CashFlow!J83</f>
        <v>100000</v>
      </c>
      <c r="H9" s="1">
        <f>CashFlow!K83</f>
        <v>100000</v>
      </c>
      <c r="I9" s="1">
        <f>CashFlow!L83</f>
        <v>100000</v>
      </c>
      <c r="J9" s="1">
        <f>CashFlow!M83</f>
        <v>200000</v>
      </c>
      <c r="K9" s="1">
        <f>CashFlow!N83</f>
        <v>200000</v>
      </c>
      <c r="L9" s="1">
        <f>CashFlow!O83</f>
        <v>0</v>
      </c>
      <c r="M9" s="1">
        <f>CashFlow!P83</f>
        <v>0</v>
      </c>
      <c r="N9" s="1">
        <f>CashFlow!Q83</f>
        <v>0</v>
      </c>
      <c r="O9" s="1">
        <f>CashFlow!R83</f>
        <v>0</v>
      </c>
      <c r="P9" s="1">
        <f t="shared" si="1"/>
        <v>900000</v>
      </c>
      <c r="R9" s="2">
        <v>1</v>
      </c>
      <c r="S9" t="str">
        <f t="shared" si="2"/>
        <v>Sponsorships</v>
      </c>
      <c r="T9" s="1">
        <f t="shared" si="3"/>
        <v>900000</v>
      </c>
      <c r="U9" s="1">
        <f>T9*$R$9</f>
        <v>900000</v>
      </c>
      <c r="V9" s="1">
        <f>U9*R9</f>
        <v>900000</v>
      </c>
      <c r="W9" s="1">
        <f>U9*R9</f>
        <v>900000</v>
      </c>
      <c r="X9" s="1">
        <f>U9*R9</f>
        <v>900000</v>
      </c>
    </row>
    <row r="10" spans="1:25">
      <c r="B10" t="str">
        <f>CashFlow!B86</f>
        <v>Licensing</v>
      </c>
      <c r="D10" s="1">
        <f>CashFlow!G87</f>
        <v>0</v>
      </c>
      <c r="E10" s="1">
        <f>CashFlow!H87</f>
        <v>0</v>
      </c>
      <c r="F10" s="1">
        <f>CashFlow!I87</f>
        <v>0</v>
      </c>
      <c r="G10" s="1">
        <f>CashFlow!J87</f>
        <v>0</v>
      </c>
      <c r="H10" s="1">
        <f>CashFlow!K87</f>
        <v>0</v>
      </c>
      <c r="I10" s="1">
        <f>CashFlow!L87</f>
        <v>0</v>
      </c>
      <c r="J10" s="1">
        <f>CashFlow!M87</f>
        <v>0</v>
      </c>
      <c r="K10" s="1">
        <f>CashFlow!N87</f>
        <v>0</v>
      </c>
      <c r="L10" s="1">
        <f>CashFlow!O87</f>
        <v>0</v>
      </c>
      <c r="M10" s="1">
        <f>CashFlow!P87</f>
        <v>0</v>
      </c>
      <c r="N10" s="1">
        <f>CashFlow!Q87</f>
        <v>0</v>
      </c>
      <c r="O10" s="1">
        <f>CashFlow!R87</f>
        <v>0</v>
      </c>
      <c r="P10" s="1">
        <f t="shared" si="1"/>
        <v>0</v>
      </c>
      <c r="R10" s="2">
        <v>1</v>
      </c>
      <c r="S10" t="str">
        <f t="shared" si="2"/>
        <v>Licensing</v>
      </c>
      <c r="T10" s="1">
        <f t="shared" si="3"/>
        <v>0</v>
      </c>
      <c r="U10" s="1">
        <f>T10*R10</f>
        <v>0</v>
      </c>
      <c r="V10" s="1">
        <f>U10*R10</f>
        <v>0</v>
      </c>
      <c r="W10" s="1">
        <f>U10*R10</f>
        <v>0</v>
      </c>
      <c r="X10" s="1">
        <f>U10*R10</f>
        <v>0</v>
      </c>
    </row>
    <row r="11" spans="1:25"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T11" s="1"/>
      <c r="U11" s="1"/>
      <c r="V11" s="1"/>
      <c r="W11" s="1"/>
      <c r="X11" s="1"/>
      <c r="Y11" s="1"/>
    </row>
    <row r="12" spans="1:25"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T12" s="1"/>
      <c r="U12" s="1"/>
      <c r="V12" s="1"/>
      <c r="W12" s="1"/>
      <c r="X12" s="1"/>
      <c r="Y12" s="1"/>
    </row>
    <row r="13" spans="1:25">
      <c r="P13" s="1"/>
    </row>
    <row r="14" spans="1:25">
      <c r="B14" t="s">
        <v>482</v>
      </c>
      <c r="D14" s="1">
        <f>SUM(D7:D10)</f>
        <v>57521.099999999991</v>
      </c>
      <c r="E14" s="1">
        <f t="shared" ref="E14:O14" si="4">SUM(E7:E10)</f>
        <v>57521.099999999991</v>
      </c>
      <c r="F14" s="1">
        <f t="shared" si="4"/>
        <v>257521.09999999998</v>
      </c>
      <c r="G14" s="1">
        <f t="shared" si="4"/>
        <v>157521.09999999998</v>
      </c>
      <c r="H14" s="1">
        <f t="shared" si="4"/>
        <v>14948661.100000001</v>
      </c>
      <c r="I14" s="1">
        <f t="shared" si="4"/>
        <v>59322081.100000009</v>
      </c>
      <c r="J14" s="1">
        <f t="shared" si="4"/>
        <v>63432123.500000015</v>
      </c>
      <c r="K14" s="1">
        <f t="shared" si="4"/>
        <v>63432123.500000015</v>
      </c>
      <c r="L14" s="1">
        <f t="shared" si="4"/>
        <v>51596426.70000001</v>
      </c>
      <c r="M14" s="1">
        <f t="shared" si="4"/>
        <v>63232123.500000015</v>
      </c>
      <c r="N14" s="1">
        <f t="shared" si="4"/>
        <v>59222081.100000009</v>
      </c>
      <c r="O14" s="1">
        <f t="shared" si="4"/>
        <v>63232123.500000015</v>
      </c>
      <c r="P14" s="1">
        <f t="shared" si="1"/>
        <v>438947828.4000001</v>
      </c>
      <c r="S14" t="str">
        <f>B14</f>
        <v>Revenues</v>
      </c>
      <c r="T14" s="1">
        <f>SUM(T7:T10)</f>
        <v>438947828.4000001</v>
      </c>
      <c r="U14" s="1">
        <f>SUM(U7:U10)</f>
        <v>438947828.4000001</v>
      </c>
      <c r="V14" s="1">
        <f>SUM(V7:V10)</f>
        <v>438947828.4000001</v>
      </c>
      <c r="W14" s="1">
        <f t="shared" ref="W14:X14" si="5">SUM(W7:W10)</f>
        <v>438947829.4000001</v>
      </c>
      <c r="X14" s="1">
        <f t="shared" si="5"/>
        <v>438947828.4000001</v>
      </c>
      <c r="Y14" s="1"/>
    </row>
    <row r="15" spans="1:25">
      <c r="P15" s="1"/>
      <c r="U15" s="7">
        <v>0.98</v>
      </c>
      <c r="V15" s="7">
        <v>0.98</v>
      </c>
      <c r="W15" s="7">
        <v>0.98</v>
      </c>
      <c r="X15" s="7">
        <v>0.98</v>
      </c>
    </row>
    <row r="16" spans="1:25">
      <c r="B16" t="s">
        <v>22</v>
      </c>
      <c r="D16" s="1">
        <f>CashFlow!G97</f>
        <v>1410671.4366666665</v>
      </c>
      <c r="E16" s="1">
        <f>CashFlow!H97</f>
        <v>1410671.4366666665</v>
      </c>
      <c r="F16" s="1">
        <f>CashFlow!I97</f>
        <v>1480671.4366666665</v>
      </c>
      <c r="G16" s="1">
        <f>CashFlow!J97</f>
        <v>1445671.4366666665</v>
      </c>
      <c r="H16" s="1">
        <f>CashFlow!K97</f>
        <v>10024532.636666667</v>
      </c>
      <c r="I16" s="1">
        <f>CashFlow!L97</f>
        <v>35761116.236666672</v>
      </c>
      <c r="J16" s="1">
        <f>CashFlow!M97</f>
        <v>38121940.82866668</v>
      </c>
      <c r="K16" s="1">
        <f>CashFlow!N97</f>
        <v>38121940.82866668</v>
      </c>
      <c r="L16" s="1">
        <f>CashFlow!O97</f>
        <v>31303236.684666671</v>
      </c>
      <c r="M16" s="1">
        <f>CashFlow!P97</f>
        <v>38051940.82866668</v>
      </c>
      <c r="N16" s="1">
        <f>CashFlow!Q97</f>
        <v>35726116.236666672</v>
      </c>
      <c r="O16" s="1">
        <f>CashFlow!R97</f>
        <v>38051940.82866668</v>
      </c>
      <c r="P16" s="1">
        <f t="shared" si="1"/>
        <v>270910450.85600007</v>
      </c>
      <c r="S16" t="str">
        <f>B16</f>
        <v>Cost of Goods</v>
      </c>
      <c r="T16" s="1">
        <f>P16</f>
        <v>270910450.85600007</v>
      </c>
      <c r="U16" s="1">
        <f>U14/T14*T16*U15</f>
        <v>265492241.83888006</v>
      </c>
      <c r="V16" s="1">
        <f t="shared" ref="V16:X16" si="6">V14/U14*U16*V15</f>
        <v>260182397.00210246</v>
      </c>
      <c r="W16" s="1">
        <f t="shared" si="6"/>
        <v>254978749.64294663</v>
      </c>
      <c r="X16" s="1">
        <f t="shared" si="6"/>
        <v>249879174.08081916</v>
      </c>
      <c r="Y16" s="1"/>
    </row>
    <row r="17" spans="1:25"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T17" s="1"/>
      <c r="U17" s="1"/>
      <c r="V17" s="1"/>
      <c r="W17" s="1"/>
      <c r="X17" s="1"/>
      <c r="Y17" s="1"/>
    </row>
    <row r="18" spans="1:25">
      <c r="P18" s="1"/>
    </row>
    <row r="19" spans="1:25">
      <c r="B19" t="s">
        <v>479</v>
      </c>
      <c r="D19" s="1">
        <f>D14-D16</f>
        <v>-1353150.3366666664</v>
      </c>
      <c r="E19" s="1">
        <f t="shared" ref="E19:K19" si="7">E14-E16</f>
        <v>-1353150.3366666664</v>
      </c>
      <c r="F19" s="1">
        <f t="shared" si="7"/>
        <v>-1223150.3366666664</v>
      </c>
      <c r="G19" s="1">
        <f t="shared" si="7"/>
        <v>-1288150.3366666664</v>
      </c>
      <c r="H19" s="1">
        <f t="shared" si="7"/>
        <v>4924128.4633333348</v>
      </c>
      <c r="I19" s="1">
        <f t="shared" si="7"/>
        <v>23560964.863333337</v>
      </c>
      <c r="J19" s="1">
        <f t="shared" si="7"/>
        <v>25310182.671333335</v>
      </c>
      <c r="K19" s="1">
        <f t="shared" si="7"/>
        <v>25310182.671333335</v>
      </c>
      <c r="L19" s="1">
        <f>L14-L16</f>
        <v>20293190.01533334</v>
      </c>
      <c r="M19" s="1">
        <f>M14-M16</f>
        <v>25180182.671333335</v>
      </c>
      <c r="N19" s="1">
        <f>N14-N16</f>
        <v>23495964.863333337</v>
      </c>
      <c r="O19" s="1">
        <f>O14-O16</f>
        <v>25180182.671333335</v>
      </c>
      <c r="P19" s="1">
        <f t="shared" si="1"/>
        <v>168037377.54400003</v>
      </c>
      <c r="S19" t="str">
        <f>B19</f>
        <v>Margins</v>
      </c>
      <c r="T19" s="1">
        <f>T14-T16</f>
        <v>168037377.54400003</v>
      </c>
      <c r="U19" s="1">
        <f>U14-U16</f>
        <v>173455586.56112003</v>
      </c>
      <c r="V19" s="1">
        <f>V14-V16</f>
        <v>178765431.39789763</v>
      </c>
      <c r="W19" s="1">
        <f>W14-W16</f>
        <v>183969079.75705346</v>
      </c>
      <c r="X19" s="1">
        <f>X14-X16</f>
        <v>189068654.31918094</v>
      </c>
      <c r="Y19" s="1"/>
    </row>
    <row r="20" spans="1:25">
      <c r="B20" t="s">
        <v>480</v>
      </c>
      <c r="D20" s="2">
        <f>IF(D14&gt;0,(D14-D16)/D14,0)</f>
        <v>-23.524416895133552</v>
      </c>
      <c r="E20" s="2">
        <f t="shared" ref="E20:K20" si="8">IF(E14&gt;0,(E14-E16)/E14,0)</f>
        <v>-23.524416895133552</v>
      </c>
      <c r="F20" s="2">
        <f t="shared" si="8"/>
        <v>-4.7497091953500767</v>
      </c>
      <c r="G20" s="2">
        <f t="shared" si="8"/>
        <v>-8.1776367525789659</v>
      </c>
      <c r="H20" s="2">
        <f t="shared" si="8"/>
        <v>0.32940264217598286</v>
      </c>
      <c r="I20" s="2">
        <f t="shared" si="8"/>
        <v>0.39717023453065159</v>
      </c>
      <c r="J20" s="2">
        <f t="shared" si="8"/>
        <v>0.39901206635993086</v>
      </c>
      <c r="K20" s="2">
        <f t="shared" si="8"/>
        <v>0.39901206635993086</v>
      </c>
      <c r="L20" s="2">
        <f>IF(L14&gt;0,(L14-L16)/L14,0)</f>
        <v>0.39330611271445537</v>
      </c>
      <c r="M20" s="2">
        <f>IF(M14&gt;0,(M14-M16)/M14,0)</f>
        <v>0.3982182042539395</v>
      </c>
      <c r="N20" s="2">
        <f>IF(N14&gt;0,(N14-N16)/N14,0)</f>
        <v>0.39674331646094979</v>
      </c>
      <c r="O20" s="2">
        <f>IF(O14&gt;0,(O14-O16)/O14,0)</f>
        <v>0.3982182042539395</v>
      </c>
      <c r="P20" s="1">
        <f t="shared" si="1"/>
        <v>-56.865096891086381</v>
      </c>
      <c r="S20" t="str">
        <f>B20</f>
        <v>Margin %</v>
      </c>
      <c r="T20" s="2">
        <f>(T14-T16)/T14</f>
        <v>0.38281856446701124</v>
      </c>
      <c r="U20" s="2">
        <f>(U14-U16)/U14</f>
        <v>0.39516219317767104</v>
      </c>
      <c r="V20" s="2">
        <f>(V14-V16)/V14</f>
        <v>0.4072589493141176</v>
      </c>
      <c r="W20" s="2">
        <f>(W14-W16)/W14</f>
        <v>0.41911377032783531</v>
      </c>
      <c r="X20" s="2">
        <f>(X14-X16)/X14</f>
        <v>0.43073149492127866</v>
      </c>
      <c r="Y20" s="2"/>
    </row>
    <row r="21" spans="1:25">
      <c r="P21" s="1"/>
      <c r="U21" s="3"/>
      <c r="V21" s="3"/>
      <c r="W21" s="3"/>
      <c r="X21" s="3"/>
    </row>
    <row r="22" spans="1:25">
      <c r="A22" t="s">
        <v>38</v>
      </c>
      <c r="P22" s="1"/>
      <c r="Q22" s="2">
        <f>0.05</f>
        <v>0.05</v>
      </c>
      <c r="R22" t="s">
        <v>38</v>
      </c>
      <c r="U22" s="3"/>
      <c r="V22" s="3"/>
      <c r="W22" s="3"/>
      <c r="X22" s="3"/>
    </row>
    <row r="23" spans="1:25">
      <c r="B23" t="str">
        <f>CashFlow!C26</f>
        <v>Head Count</v>
      </c>
      <c r="D23" s="1">
        <f>CashFlow!G26</f>
        <v>139.19999999999999</v>
      </c>
      <c r="E23" s="1">
        <f>CashFlow!H26</f>
        <v>139.19999999999999</v>
      </c>
      <c r="F23" s="1">
        <f>CashFlow!I26</f>
        <v>139.19999999999999</v>
      </c>
      <c r="G23" s="1">
        <f>CashFlow!J26</f>
        <v>139.19999999999999</v>
      </c>
      <c r="H23" s="1">
        <f>CashFlow!K26</f>
        <v>139.19999999999999</v>
      </c>
      <c r="I23" s="1">
        <f>CashFlow!L26</f>
        <v>139.19999999999999</v>
      </c>
      <c r="J23" s="1">
        <f>CashFlow!M26</f>
        <v>139.19999999999999</v>
      </c>
      <c r="K23" s="1">
        <f>CashFlow!N26</f>
        <v>139.19999999999999</v>
      </c>
      <c r="L23" s="1">
        <f>CashFlow!O26</f>
        <v>139.19999999999999</v>
      </c>
      <c r="M23" s="1">
        <f>CashFlow!P26</f>
        <v>139.19999999999999</v>
      </c>
      <c r="N23" s="1">
        <f>CashFlow!Q26</f>
        <v>139.19999999999999</v>
      </c>
      <c r="O23" s="1">
        <f>CashFlow!R26</f>
        <v>139.19999999999999</v>
      </c>
      <c r="P23" s="1"/>
      <c r="S23" t="str">
        <f>B23</f>
        <v>Head Count</v>
      </c>
      <c r="T23" s="1">
        <f>O23</f>
        <v>139.19999999999999</v>
      </c>
      <c r="U23" s="3">
        <f>ROUND(($T$23+U3)/$T$3,1)*($T$3+U3)</f>
        <v>139.19999999999999</v>
      </c>
      <c r="V23" s="3">
        <f>ROUND(($T$23+V3+U3)/U23,1)*($T$23+V3+U3)</f>
        <v>139.19999999999999</v>
      </c>
      <c r="W23" s="3">
        <f>ROUND(($T$23+W3+V3+U3)/V23,1)*($T$23+W3+V3+U3)</f>
        <v>139.19999999999999</v>
      </c>
      <c r="X23" s="3">
        <f>ROUND(($T$23+X3+W3+V3+U3)/W23,1)*($T$23+X3+W3+V3+U3)</f>
        <v>139.19999999999999</v>
      </c>
      <c r="Y23" s="1"/>
    </row>
    <row r="24" spans="1:25">
      <c r="B24" s="213" t="str">
        <f>CashFlow!C25</f>
        <v>Expenses People</v>
      </c>
      <c r="C24" s="213"/>
      <c r="D24" s="214">
        <f>CashFlow!G25</f>
        <v>755039.23199999984</v>
      </c>
      <c r="E24" s="214">
        <f>CashFlow!H25</f>
        <v>755040.23199999984</v>
      </c>
      <c r="F24" s="214">
        <f>CashFlow!I25</f>
        <v>755040.23199999984</v>
      </c>
      <c r="G24" s="214">
        <f>CashFlow!J25</f>
        <v>755040.23199999984</v>
      </c>
      <c r="H24" s="214">
        <f>CashFlow!K25</f>
        <v>755040.23199999984</v>
      </c>
      <c r="I24" s="214">
        <f>CashFlow!L25</f>
        <v>855194.24491428584</v>
      </c>
      <c r="J24" s="214">
        <f>CashFlow!M25</f>
        <v>2017472.6945965716</v>
      </c>
      <c r="K24" s="214">
        <f>CashFlow!N25</f>
        <v>2052688.8477623011</v>
      </c>
      <c r="L24" s="214">
        <f>CashFlow!O25</f>
        <v>2050576.0869056904</v>
      </c>
      <c r="M24" s="214">
        <f>CashFlow!P25</f>
        <v>1749683.2931970872</v>
      </c>
      <c r="N24" s="214">
        <f>CashFlow!Q25</f>
        <v>2060956.4028184921</v>
      </c>
      <c r="O24" s="214">
        <f>CashFlow!R25</f>
        <v>1941226.9651223193</v>
      </c>
      <c r="P24" s="214">
        <f t="shared" si="1"/>
        <v>16502998.695316747</v>
      </c>
      <c r="Q24" s="213"/>
      <c r="R24" s="213"/>
      <c r="S24" s="213" t="str">
        <f>B24</f>
        <v>Expenses People</v>
      </c>
      <c r="T24" s="214">
        <f>P24</f>
        <v>16502998.695316747</v>
      </c>
      <c r="U24" s="215">
        <f>$T$24/$T$23*U23</f>
        <v>16502998.695316747</v>
      </c>
      <c r="V24" s="215">
        <f>$T$24/$T$23*V23</f>
        <v>16502998.695316747</v>
      </c>
      <c r="W24" s="215">
        <f>$T$24/$T$23*W23</f>
        <v>16502998.695316747</v>
      </c>
      <c r="X24" s="215">
        <f>$T$24/$T$23*X23</f>
        <v>16502998.695316747</v>
      </c>
      <c r="Y24" s="214"/>
    </row>
    <row r="25" spans="1:25">
      <c r="P25" s="1"/>
      <c r="U25" s="3"/>
      <c r="V25" s="3"/>
      <c r="W25" s="3"/>
      <c r="X25" s="3"/>
    </row>
    <row r="26" spans="1:25">
      <c r="B26" t="str">
        <f>CashFlow!B29</f>
        <v>Travel</v>
      </c>
      <c r="D26" s="1">
        <f>CashFlow!G29</f>
        <v>134399.99999999997</v>
      </c>
      <c r="E26" s="1">
        <f>CashFlow!H29</f>
        <v>134399.99999999997</v>
      </c>
      <c r="F26" s="1">
        <f>CashFlow!I29</f>
        <v>134399.99999999997</v>
      </c>
      <c r="G26" s="1">
        <f>CashFlow!J29</f>
        <v>134399.99999999997</v>
      </c>
      <c r="H26" s="1">
        <f>CashFlow!K29</f>
        <v>134399.99999999997</v>
      </c>
      <c r="I26" s="1">
        <f>CashFlow!L29</f>
        <v>134399.99999999997</v>
      </c>
      <c r="J26" s="1">
        <f>CashFlow!M29</f>
        <v>134399.99999999997</v>
      </c>
      <c r="K26" s="1">
        <f>CashFlow!N29</f>
        <v>134399.99999999997</v>
      </c>
      <c r="L26" s="1">
        <f>CashFlow!O29</f>
        <v>134399.99999999997</v>
      </c>
      <c r="M26" s="1">
        <f>CashFlow!P29</f>
        <v>134399.99999999997</v>
      </c>
      <c r="N26" s="1">
        <f>CashFlow!Q29</f>
        <v>134399.99999999997</v>
      </c>
      <c r="O26" s="1">
        <f>CashFlow!R29</f>
        <v>134399.99999999997</v>
      </c>
      <c r="P26" s="1">
        <f t="shared" si="1"/>
        <v>1612799.9999999998</v>
      </c>
      <c r="Q26" s="7">
        <v>0.2</v>
      </c>
      <c r="S26" t="str">
        <f>B26</f>
        <v>Travel</v>
      </c>
      <c r="T26" s="1">
        <f>P26</f>
        <v>1612799.9999999998</v>
      </c>
      <c r="U26" s="3">
        <f t="shared" ref="U26:U35" si="9">T26/$T$23*$U$23</f>
        <v>1612799.9999999998</v>
      </c>
      <c r="V26" s="3">
        <f>T26/$T$23*V23</f>
        <v>1612799.9999999998</v>
      </c>
      <c r="W26" s="3">
        <f t="shared" ref="W26:W35" si="10">$T26/$T$23*$W$23</f>
        <v>1612799.9999999998</v>
      </c>
      <c r="X26" s="3">
        <f t="shared" ref="X26:X35" si="11">$T26/$T$23*$X$23</f>
        <v>1612799.9999999998</v>
      </c>
      <c r="Y26" s="1"/>
    </row>
    <row r="27" spans="1:25">
      <c r="B27" t="str">
        <f>CashFlow!B30</f>
        <v>PR</v>
      </c>
      <c r="D27" s="1">
        <f>CashFlow!G30</f>
        <v>500</v>
      </c>
      <c r="E27" s="1">
        <f>CashFlow!H30</f>
        <v>0</v>
      </c>
      <c r="F27" s="1">
        <f>CashFlow!I30</f>
        <v>0</v>
      </c>
      <c r="G27" s="1">
        <f>CashFlow!J30</f>
        <v>41.666666666666664</v>
      </c>
      <c r="H27" s="1">
        <f>CashFlow!K30</f>
        <v>0</v>
      </c>
      <c r="I27" s="1">
        <f>CashFlow!L30</f>
        <v>0</v>
      </c>
      <c r="J27" s="1">
        <f>CashFlow!M30</f>
        <v>3.4722222222222219</v>
      </c>
      <c r="K27" s="1">
        <f>CashFlow!N30</f>
        <v>0</v>
      </c>
      <c r="L27" s="1">
        <f>CashFlow!O30</f>
        <v>0</v>
      </c>
      <c r="M27" s="1">
        <f>CashFlow!P30</f>
        <v>0.2893518518518518</v>
      </c>
      <c r="N27" s="1">
        <f>CashFlow!Q30</f>
        <v>0</v>
      </c>
      <c r="O27" s="1">
        <f>CashFlow!R30</f>
        <v>0</v>
      </c>
      <c r="P27" s="1">
        <f t="shared" si="1"/>
        <v>545.42824074074065</v>
      </c>
      <c r="Q27" s="7">
        <v>0.5</v>
      </c>
      <c r="S27" t="str">
        <f t="shared" ref="S27:S35" si="12">B27</f>
        <v>PR</v>
      </c>
      <c r="T27" s="1">
        <f>P27</f>
        <v>545.42824074074065</v>
      </c>
      <c r="U27" s="3">
        <f t="shared" si="9"/>
        <v>545.42824074074065</v>
      </c>
      <c r="V27" s="139">
        <f>T27/$T$23*$U$23</f>
        <v>545.42824074074065</v>
      </c>
      <c r="W27" s="3">
        <f t="shared" si="10"/>
        <v>545.42824074074065</v>
      </c>
      <c r="X27" s="3">
        <f t="shared" si="11"/>
        <v>545.42824074074065</v>
      </c>
      <c r="Y27" s="1"/>
    </row>
    <row r="28" spans="1:25">
      <c r="B28" t="str">
        <f>CashFlow!B31</f>
        <v>Insurance</v>
      </c>
      <c r="D28" s="1">
        <f>CashFlow!G31</f>
        <v>48719.999999999993</v>
      </c>
      <c r="E28" s="1">
        <f>CashFlow!H31</f>
        <v>48719.999999999993</v>
      </c>
      <c r="F28" s="1">
        <f>CashFlow!I31</f>
        <v>48719.999999999993</v>
      </c>
      <c r="G28" s="1">
        <f>CashFlow!J31</f>
        <v>48719.999999999993</v>
      </c>
      <c r="H28" s="1">
        <f>CashFlow!K31</f>
        <v>48719.999999999993</v>
      </c>
      <c r="I28" s="1">
        <f>CashFlow!L31</f>
        <v>48719.999999999993</v>
      </c>
      <c r="J28" s="1">
        <f>CashFlow!M31</f>
        <v>48719.999999999993</v>
      </c>
      <c r="K28" s="1">
        <f>CashFlow!N31</f>
        <v>48719.999999999993</v>
      </c>
      <c r="L28" s="1">
        <f>CashFlow!O31</f>
        <v>48719.999999999993</v>
      </c>
      <c r="M28" s="1">
        <f>CashFlow!P31</f>
        <v>48719.999999999993</v>
      </c>
      <c r="N28" s="1">
        <f>CashFlow!Q31</f>
        <v>48719.999999999993</v>
      </c>
      <c r="O28" s="1">
        <f>CashFlow!R31</f>
        <v>48719.999999999993</v>
      </c>
      <c r="P28" s="1">
        <f t="shared" si="1"/>
        <v>584639.99999999988</v>
      </c>
      <c r="Q28" s="39" t="s">
        <v>56</v>
      </c>
      <c r="S28" t="str">
        <f t="shared" si="12"/>
        <v>Insurance</v>
      </c>
      <c r="T28" s="1">
        <f t="shared" ref="T28:T34" si="13">P28</f>
        <v>584639.99999999988</v>
      </c>
      <c r="U28" s="3">
        <f t="shared" si="9"/>
        <v>584639.99999999988</v>
      </c>
      <c r="V28" s="139">
        <f>T28/$T$23*$U$23</f>
        <v>584639.99999999988</v>
      </c>
      <c r="W28" s="3">
        <f t="shared" si="10"/>
        <v>584639.99999999988</v>
      </c>
      <c r="X28" s="3">
        <f t="shared" si="11"/>
        <v>584639.99999999988</v>
      </c>
      <c r="Y28" s="1"/>
    </row>
    <row r="29" spans="1:25">
      <c r="B29" t="str">
        <f>CashFlow!B32</f>
        <v>Vehicle</v>
      </c>
      <c r="D29" s="1">
        <f>CashFlow!G32</f>
        <v>12528</v>
      </c>
      <c r="E29" s="1">
        <f>CashFlow!H32</f>
        <v>12528</v>
      </c>
      <c r="F29" s="1">
        <f>CashFlow!I32</f>
        <v>12528</v>
      </c>
      <c r="G29" s="1">
        <f>CashFlow!J32</f>
        <v>12528</v>
      </c>
      <c r="H29" s="1">
        <f>CashFlow!K32</f>
        <v>12528</v>
      </c>
      <c r="I29" s="1">
        <f>CashFlow!L32</f>
        <v>12528</v>
      </c>
      <c r="J29" s="1">
        <f>CashFlow!M32</f>
        <v>12528</v>
      </c>
      <c r="K29" s="1">
        <f>CashFlow!N32</f>
        <v>12528</v>
      </c>
      <c r="L29" s="1">
        <f>CashFlow!O32</f>
        <v>12528</v>
      </c>
      <c r="M29" s="1">
        <f>CashFlow!P32</f>
        <v>12528</v>
      </c>
      <c r="N29" s="1">
        <f>CashFlow!Q32</f>
        <v>12528</v>
      </c>
      <c r="O29" s="1">
        <f>CashFlow!R32</f>
        <v>12528</v>
      </c>
      <c r="P29" s="1">
        <f t="shared" si="1"/>
        <v>150336</v>
      </c>
      <c r="Q29" s="7">
        <v>0.2</v>
      </c>
      <c r="S29" t="str">
        <f t="shared" si="12"/>
        <v>Vehicle</v>
      </c>
      <c r="T29" s="1">
        <f t="shared" si="13"/>
        <v>150336</v>
      </c>
      <c r="U29" s="3">
        <f t="shared" si="9"/>
        <v>150336</v>
      </c>
      <c r="V29" s="139">
        <f>T29/$T$23*$U$23</f>
        <v>150336</v>
      </c>
      <c r="W29" s="3">
        <f t="shared" si="10"/>
        <v>150336</v>
      </c>
      <c r="X29" s="3">
        <f t="shared" si="11"/>
        <v>150336</v>
      </c>
      <c r="Y29" s="1"/>
    </row>
    <row r="30" spans="1:25">
      <c r="B30" t="str">
        <f>CashFlow!B33</f>
        <v>Consulting</v>
      </c>
      <c r="D30" s="1">
        <f>CashFlow!G33</f>
        <v>2784</v>
      </c>
      <c r="E30" s="1">
        <f>CashFlow!H33</f>
        <v>2784</v>
      </c>
      <c r="F30" s="1">
        <f>CashFlow!I33</f>
        <v>2784</v>
      </c>
      <c r="G30" s="1">
        <f>CashFlow!J33</f>
        <v>2784</v>
      </c>
      <c r="H30" s="1">
        <f>CashFlow!K33</f>
        <v>2784</v>
      </c>
      <c r="I30" s="1">
        <f>CashFlow!L33</f>
        <v>2784</v>
      </c>
      <c r="J30" s="1">
        <f>CashFlow!M33</f>
        <v>2784</v>
      </c>
      <c r="K30" s="1">
        <f>CashFlow!N33</f>
        <v>2784</v>
      </c>
      <c r="L30" s="1">
        <f>CashFlow!O33</f>
        <v>2784</v>
      </c>
      <c r="M30" s="1">
        <f>CashFlow!P33</f>
        <v>2784</v>
      </c>
      <c r="N30" s="1">
        <f>CashFlow!Q33</f>
        <v>2784</v>
      </c>
      <c r="O30" s="1">
        <f>CashFlow!R33</f>
        <v>2784</v>
      </c>
      <c r="P30" s="1">
        <f t="shared" si="1"/>
        <v>33408</v>
      </c>
      <c r="S30" t="str">
        <f t="shared" si="12"/>
        <v>Consulting</v>
      </c>
      <c r="T30" s="1">
        <f t="shared" si="13"/>
        <v>33408</v>
      </c>
      <c r="U30" s="3">
        <f t="shared" si="9"/>
        <v>33408</v>
      </c>
      <c r="V30" s="3">
        <f>T30/$T$23*$U$23</f>
        <v>33408</v>
      </c>
      <c r="W30" s="3">
        <f t="shared" si="10"/>
        <v>33408</v>
      </c>
      <c r="X30" s="3">
        <f t="shared" si="11"/>
        <v>33408</v>
      </c>
      <c r="Y30" s="1"/>
    </row>
    <row r="31" spans="1:25">
      <c r="B31" t="str">
        <f>CashFlow!B34</f>
        <v>Office Space</v>
      </c>
      <c r="D31" s="1">
        <f>CashFlow!G34</f>
        <v>2227.1999999999998</v>
      </c>
      <c r="E31" s="1">
        <f>CashFlow!H34</f>
        <v>2227.1999999999998</v>
      </c>
      <c r="F31" s="1">
        <f>CashFlow!I34</f>
        <v>2227.1999999999998</v>
      </c>
      <c r="G31" s="1">
        <f>CashFlow!J34</f>
        <v>2227.1999999999998</v>
      </c>
      <c r="H31" s="1">
        <f>CashFlow!K34</f>
        <v>2227.1999999999998</v>
      </c>
      <c r="I31" s="1">
        <f>CashFlow!L34</f>
        <v>2227.1999999999998</v>
      </c>
      <c r="J31" s="1">
        <f>CashFlow!M34</f>
        <v>2227.1999999999998</v>
      </c>
      <c r="K31" s="1">
        <f>CashFlow!N34</f>
        <v>2227.1999999999998</v>
      </c>
      <c r="L31" s="1">
        <f>CashFlow!O34</f>
        <v>2227.1999999999998</v>
      </c>
      <c r="M31" s="1">
        <f>CashFlow!P34</f>
        <v>2227.1999999999998</v>
      </c>
      <c r="N31" s="1">
        <f>CashFlow!Q34</f>
        <v>2227.1999999999998</v>
      </c>
      <c r="O31" s="1">
        <f>CashFlow!R34</f>
        <v>2227.1999999999998</v>
      </c>
      <c r="P31" s="1">
        <f t="shared" si="1"/>
        <v>26726.400000000005</v>
      </c>
      <c r="S31" t="str">
        <f t="shared" si="12"/>
        <v>Office Space</v>
      </c>
      <c r="T31" s="1">
        <f t="shared" si="13"/>
        <v>26726.400000000005</v>
      </c>
      <c r="U31" s="3">
        <f t="shared" si="9"/>
        <v>26726.400000000005</v>
      </c>
      <c r="V31" s="3">
        <f>T31/$T$23*V23</f>
        <v>26726.400000000005</v>
      </c>
      <c r="W31" s="3">
        <f t="shared" si="10"/>
        <v>26726.400000000005</v>
      </c>
      <c r="X31" s="3">
        <f t="shared" si="11"/>
        <v>26726.400000000005</v>
      </c>
      <c r="Y31" s="1"/>
    </row>
    <row r="32" spans="1:25">
      <c r="B32" t="str">
        <f>CashFlow!B35</f>
        <v>Utilities</v>
      </c>
      <c r="D32" s="1">
        <f>CashFlow!G35</f>
        <v>222.72</v>
      </c>
      <c r="E32" s="1">
        <f>CashFlow!H35</f>
        <v>222.72</v>
      </c>
      <c r="F32" s="1">
        <f>CashFlow!I35</f>
        <v>222.72</v>
      </c>
      <c r="G32" s="1">
        <f>CashFlow!J35</f>
        <v>222.72</v>
      </c>
      <c r="H32" s="1">
        <f>CashFlow!K35</f>
        <v>222.72</v>
      </c>
      <c r="I32" s="1">
        <f>CashFlow!L35</f>
        <v>222.72</v>
      </c>
      <c r="J32" s="1">
        <f>CashFlow!M35</f>
        <v>222.72</v>
      </c>
      <c r="K32" s="1">
        <f>CashFlow!N35</f>
        <v>222.72</v>
      </c>
      <c r="L32" s="1">
        <f>CashFlow!O35</f>
        <v>222.72</v>
      </c>
      <c r="M32" s="1">
        <f>CashFlow!P35</f>
        <v>222.72</v>
      </c>
      <c r="N32" s="1">
        <f>CashFlow!Q35</f>
        <v>222.72</v>
      </c>
      <c r="O32" s="1">
        <f>CashFlow!R35</f>
        <v>222.72</v>
      </c>
      <c r="P32" s="1">
        <f t="shared" si="1"/>
        <v>2672.6399999999994</v>
      </c>
      <c r="S32" t="str">
        <f t="shared" si="12"/>
        <v>Utilities</v>
      </c>
      <c r="T32" s="1">
        <f t="shared" si="13"/>
        <v>2672.6399999999994</v>
      </c>
      <c r="U32" s="3">
        <f t="shared" si="9"/>
        <v>2672.639999999999</v>
      </c>
      <c r="V32" s="3">
        <f>T32/$T$23*V23</f>
        <v>2672.639999999999</v>
      </c>
      <c r="W32" s="3">
        <f t="shared" si="10"/>
        <v>2672.639999999999</v>
      </c>
      <c r="X32" s="3">
        <f t="shared" si="11"/>
        <v>2672.639999999999</v>
      </c>
      <c r="Y32" s="1"/>
    </row>
    <row r="33" spans="1:25">
      <c r="B33" t="str">
        <f>CashFlow!B36</f>
        <v>Office Supplies</v>
      </c>
      <c r="D33" s="1">
        <f>CashFlow!G36</f>
        <v>6959.9999999999991</v>
      </c>
      <c r="E33" s="1">
        <f>CashFlow!H36</f>
        <v>6959.9999999999991</v>
      </c>
      <c r="F33" s="1">
        <f>CashFlow!I36</f>
        <v>6959.9999999999991</v>
      </c>
      <c r="G33" s="1">
        <f>CashFlow!J36</f>
        <v>6959.9999999999991</v>
      </c>
      <c r="H33" s="1">
        <f>CashFlow!K36</f>
        <v>6959.9999999999991</v>
      </c>
      <c r="I33" s="1">
        <f>CashFlow!L36</f>
        <v>6959.9999999999991</v>
      </c>
      <c r="J33" s="1">
        <f>CashFlow!M36</f>
        <v>6959.9999999999991</v>
      </c>
      <c r="K33" s="1">
        <f>CashFlow!N36</f>
        <v>6959.9999999999991</v>
      </c>
      <c r="L33" s="1">
        <f>CashFlow!O36</f>
        <v>6959.9999999999991</v>
      </c>
      <c r="M33" s="1">
        <f>CashFlow!P36</f>
        <v>6959.9999999999991</v>
      </c>
      <c r="N33" s="1">
        <f>CashFlow!Q36</f>
        <v>6959.9999999999991</v>
      </c>
      <c r="O33" s="1">
        <f>CashFlow!R36</f>
        <v>6959.9999999999991</v>
      </c>
      <c r="P33" s="1">
        <f t="shared" si="1"/>
        <v>83519.999999999985</v>
      </c>
      <c r="S33" t="str">
        <f t="shared" si="12"/>
        <v>Office Supplies</v>
      </c>
      <c r="T33" s="1">
        <f t="shared" si="13"/>
        <v>83519.999999999985</v>
      </c>
      <c r="U33" s="3">
        <f t="shared" si="9"/>
        <v>83520</v>
      </c>
      <c r="V33" s="139">
        <f>T33/$T$23*V23</f>
        <v>83520</v>
      </c>
      <c r="W33" s="3">
        <f t="shared" si="10"/>
        <v>83520</v>
      </c>
      <c r="X33" s="3">
        <f t="shared" si="11"/>
        <v>83520</v>
      </c>
      <c r="Y33" s="1"/>
    </row>
    <row r="34" spans="1:25">
      <c r="B34" t="str">
        <f>CashFlow!B37</f>
        <v>Equipment</v>
      </c>
      <c r="D34" s="1">
        <f>CashFlow!G37</f>
        <v>389759.99999999994</v>
      </c>
      <c r="E34" s="1">
        <f>CashFlow!H37</f>
        <v>0</v>
      </c>
      <c r="F34" s="1">
        <f>CashFlow!I37</f>
        <v>0</v>
      </c>
      <c r="G34" s="1">
        <f>CashFlow!J37</f>
        <v>0</v>
      </c>
      <c r="H34" s="1">
        <f>CashFlow!K37</f>
        <v>0</v>
      </c>
      <c r="I34" s="1">
        <f>CashFlow!L37</f>
        <v>0</v>
      </c>
      <c r="J34" s="1">
        <f>CashFlow!M37</f>
        <v>0</v>
      </c>
      <c r="K34" s="1">
        <f>CashFlow!N37</f>
        <v>0</v>
      </c>
      <c r="L34" s="1">
        <f>CashFlow!O37</f>
        <v>0</v>
      </c>
      <c r="M34" s="1">
        <f>CashFlow!P37</f>
        <v>0</v>
      </c>
      <c r="N34" s="1">
        <f>CashFlow!Q37</f>
        <v>0</v>
      </c>
      <c r="O34" s="1">
        <f>CashFlow!R37</f>
        <v>0</v>
      </c>
      <c r="P34" s="1">
        <f t="shared" si="1"/>
        <v>389759.99999999994</v>
      </c>
      <c r="S34" t="str">
        <f t="shared" si="12"/>
        <v>Equipment</v>
      </c>
      <c r="T34" s="1">
        <f t="shared" si="13"/>
        <v>389759.99999999994</v>
      </c>
      <c r="U34" s="3">
        <f t="shared" si="9"/>
        <v>389759.99999999994</v>
      </c>
      <c r="V34" s="3">
        <f>T34/$T$23*V23</f>
        <v>389759.99999999994</v>
      </c>
      <c r="W34" s="3">
        <f t="shared" si="10"/>
        <v>389759.99999999994</v>
      </c>
      <c r="X34" s="3">
        <f t="shared" si="11"/>
        <v>389759.99999999994</v>
      </c>
      <c r="Y34" s="1"/>
    </row>
    <row r="35" spans="1:25">
      <c r="B35" t="str">
        <f>CashFlow!B38</f>
        <v>Communications</v>
      </c>
      <c r="D35" s="1">
        <f>CashFlow!G38</f>
        <v>8352</v>
      </c>
      <c r="E35" s="1">
        <f>CashFlow!H38</f>
        <v>8352</v>
      </c>
      <c r="F35" s="1">
        <f>CashFlow!I38</f>
        <v>8352</v>
      </c>
      <c r="G35" s="1">
        <f>CashFlow!J38</f>
        <v>8352</v>
      </c>
      <c r="H35" s="1">
        <f>CashFlow!K38</f>
        <v>8352</v>
      </c>
      <c r="I35" s="1">
        <f>CashFlow!L38</f>
        <v>8352</v>
      </c>
      <c r="J35" s="1">
        <f>CashFlow!M38</f>
        <v>8352</v>
      </c>
      <c r="K35" s="1">
        <f>CashFlow!N38</f>
        <v>8352</v>
      </c>
      <c r="L35" s="1">
        <f>CashFlow!O38</f>
        <v>8352</v>
      </c>
      <c r="M35" s="1">
        <f>CashFlow!P38</f>
        <v>8352</v>
      </c>
      <c r="N35" s="1">
        <f>CashFlow!Q38</f>
        <v>8352</v>
      </c>
      <c r="O35" s="1">
        <f>CashFlow!R38</f>
        <v>8352</v>
      </c>
      <c r="P35" s="1">
        <f>SUM(D35:O35)</f>
        <v>100224</v>
      </c>
      <c r="Q35" s="7">
        <v>-0.04</v>
      </c>
      <c r="S35" t="str">
        <f t="shared" si="12"/>
        <v>Communications</v>
      </c>
      <c r="T35" s="1">
        <f>P35</f>
        <v>100224</v>
      </c>
      <c r="U35" s="3">
        <f t="shared" si="9"/>
        <v>100224.00000000001</v>
      </c>
      <c r="V35" s="3">
        <f>T35/$T$23*V23</f>
        <v>100224.00000000001</v>
      </c>
      <c r="W35" s="3">
        <f t="shared" si="10"/>
        <v>100224.00000000001</v>
      </c>
      <c r="X35" s="3">
        <f t="shared" si="11"/>
        <v>100224.00000000001</v>
      </c>
      <c r="Y35" s="1"/>
    </row>
    <row r="36" spans="1:25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T36" s="1"/>
      <c r="U36" s="3"/>
      <c r="V36" s="3"/>
      <c r="W36" s="3"/>
      <c r="X36" s="3"/>
      <c r="Y36" s="1"/>
    </row>
    <row r="37" spans="1:25">
      <c r="B37" t="s">
        <v>35</v>
      </c>
      <c r="D37" s="1">
        <f>CashFlow!G65</f>
        <v>20000</v>
      </c>
      <c r="E37" s="1">
        <f>CashFlow!H65</f>
        <v>20000</v>
      </c>
      <c r="F37" s="1">
        <f>CashFlow!I65</f>
        <v>20000</v>
      </c>
      <c r="G37" s="1">
        <f>CashFlow!J65</f>
        <v>20000</v>
      </c>
      <c r="H37" s="1">
        <f>CashFlow!K65</f>
        <v>20000</v>
      </c>
      <c r="I37" s="1">
        <f>CashFlow!L65</f>
        <v>20000</v>
      </c>
      <c r="J37" s="1">
        <f>CashFlow!M65</f>
        <v>20000</v>
      </c>
      <c r="K37" s="1">
        <f>CashFlow!N65</f>
        <v>20000</v>
      </c>
      <c r="L37" s="1">
        <f>CashFlow!O65</f>
        <v>20000</v>
      </c>
      <c r="M37" s="1">
        <f>CashFlow!P65</f>
        <v>20000</v>
      </c>
      <c r="N37" s="1">
        <f>CashFlow!Q65</f>
        <v>20000</v>
      </c>
      <c r="O37" s="1">
        <f>CashFlow!R65</f>
        <v>20000</v>
      </c>
      <c r="P37" s="1">
        <f>SUM(D37:O37)</f>
        <v>240000</v>
      </c>
      <c r="S37" t="str">
        <f>B37</f>
        <v>Insurance, Operating</v>
      </c>
      <c r="T37" s="1">
        <f>P37</f>
        <v>240000</v>
      </c>
      <c r="U37" s="3">
        <f>ROUND(T37*(T4/U4),0)</f>
        <v>240000</v>
      </c>
      <c r="V37" s="3">
        <f>ROUND(U37*(U4/V4),0)</f>
        <v>240000</v>
      </c>
      <c r="W37" s="3">
        <f t="shared" ref="W37:X37" si="14">ROUND(V37*(V4/W4),0)</f>
        <v>240000</v>
      </c>
      <c r="X37" s="3">
        <f t="shared" si="14"/>
        <v>240000</v>
      </c>
      <c r="Y37" s="1"/>
    </row>
    <row r="38" spans="1:25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S38" t="s">
        <v>61</v>
      </c>
      <c r="T38" s="1">
        <f>P49</f>
        <v>7903739.9371428555</v>
      </c>
      <c r="U38" s="3">
        <f>T38</f>
        <v>7903739.9371428555</v>
      </c>
      <c r="V38" s="3">
        <f>U38</f>
        <v>7903739.9371428555</v>
      </c>
      <c r="W38" s="3">
        <f>V38</f>
        <v>7903739.9371428555</v>
      </c>
      <c r="X38" s="3">
        <f>W38</f>
        <v>7903739.9371428555</v>
      </c>
      <c r="Y38" s="1"/>
    </row>
    <row r="39" spans="1:25" s="198" customFormat="1">
      <c r="A39"/>
      <c r="B39" t="str">
        <f>CashFlow!B40</f>
        <v>Debt Service</v>
      </c>
      <c r="C39"/>
      <c r="D39" s="1">
        <f>CashFlow!G40</f>
        <v>790373.99371428543</v>
      </c>
      <c r="E39" s="1">
        <f>CashFlow!H40</f>
        <v>790373.99371428543</v>
      </c>
      <c r="F39" s="1">
        <f>CashFlow!I40</f>
        <v>790373.99371428543</v>
      </c>
      <c r="G39" s="1">
        <f>CashFlow!J40</f>
        <v>790373.99371428543</v>
      </c>
      <c r="H39" s="1">
        <f>CashFlow!K40</f>
        <v>790373.99371428543</v>
      </c>
      <c r="I39" s="1">
        <f>CashFlow!L40</f>
        <v>790373.99371428543</v>
      </c>
      <c r="J39" s="1">
        <f>CashFlow!M40</f>
        <v>790373.99371428543</v>
      </c>
      <c r="K39" s="1">
        <f>CashFlow!N40</f>
        <v>790373.99371428543</v>
      </c>
      <c r="L39" s="1">
        <f>CashFlow!O40</f>
        <v>790373.99371428543</v>
      </c>
      <c r="M39" s="1">
        <f>CashFlow!P40</f>
        <v>790373.99371428543</v>
      </c>
      <c r="N39" s="1">
        <f>CashFlow!Q40</f>
        <v>790373.99371428543</v>
      </c>
      <c r="O39" s="1">
        <f>CashFlow!R40</f>
        <v>790373.99371428543</v>
      </c>
      <c r="P39" s="1">
        <f>SUM(D39:O39)</f>
        <v>9484487.9245714247</v>
      </c>
      <c r="Q39" s="7">
        <v>-0.08</v>
      </c>
      <c r="S39" s="198" t="str">
        <f>B39</f>
        <v>Debt Service</v>
      </c>
      <c r="T39" s="200">
        <f>P39</f>
        <v>9484487.9245714247</v>
      </c>
      <c r="U39" s="273">
        <f>ROUND(T39*(T4/U4),0)</f>
        <v>9484488</v>
      </c>
      <c r="V39" s="273">
        <f>ROUND(U39*(U4/V4),0)</f>
        <v>9484488</v>
      </c>
      <c r="W39" s="273">
        <f>ROUND(V39*(V4/W4),0)</f>
        <v>9484488</v>
      </c>
      <c r="X39" s="273">
        <f>ROUND(W39*(W4/X4),0)</f>
        <v>9484488</v>
      </c>
      <c r="Y39" s="200"/>
    </row>
    <row r="40" spans="1:25" s="198" customFormat="1">
      <c r="D40" s="200"/>
      <c r="E40" s="200"/>
      <c r="F40" s="200"/>
      <c r="G40" s="200"/>
      <c r="H40" s="200"/>
      <c r="I40" s="200"/>
      <c r="J40" s="200"/>
      <c r="K40" s="200"/>
      <c r="L40" s="200"/>
      <c r="M40" s="200"/>
      <c r="N40" s="200"/>
      <c r="O40" s="200"/>
      <c r="P40" s="200"/>
      <c r="T40" s="200"/>
      <c r="U40" s="273"/>
      <c r="V40" s="273"/>
      <c r="W40" s="273"/>
      <c r="X40" s="273"/>
      <c r="Y40" s="200"/>
    </row>
    <row r="41" spans="1:25" s="213" customFormat="1">
      <c r="B41" s="213" t="s">
        <v>38</v>
      </c>
      <c r="D41" s="214">
        <f>D24+SUM(D26:D35)+D37</f>
        <v>1381493.1519999998</v>
      </c>
      <c r="E41" s="214">
        <f t="shared" ref="E41:O41" si="15">E24+SUM(E26:E35)+E37</f>
        <v>991234.15199999977</v>
      </c>
      <c r="F41" s="214">
        <f t="shared" si="15"/>
        <v>991234.15199999977</v>
      </c>
      <c r="G41" s="214">
        <f t="shared" si="15"/>
        <v>991275.81866666651</v>
      </c>
      <c r="H41" s="214">
        <f t="shared" si="15"/>
        <v>991234.15199999977</v>
      </c>
      <c r="I41" s="214">
        <f t="shared" si="15"/>
        <v>1091388.1649142858</v>
      </c>
      <c r="J41" s="214">
        <f t="shared" si="15"/>
        <v>2253670.0868187938</v>
      </c>
      <c r="K41" s="214">
        <f t="shared" si="15"/>
        <v>2288882.767762301</v>
      </c>
      <c r="L41" s="214">
        <f t="shared" si="15"/>
        <v>2286770.0069056903</v>
      </c>
      <c r="M41" s="214">
        <f t="shared" si="15"/>
        <v>1985877.5025489391</v>
      </c>
      <c r="N41" s="214">
        <f t="shared" si="15"/>
        <v>2297150.3228184921</v>
      </c>
      <c r="O41" s="214">
        <f t="shared" si="15"/>
        <v>2177420.8851223192</v>
      </c>
      <c r="P41" s="214">
        <f>SUM(D41:O41)</f>
        <v>19727631.163557485</v>
      </c>
      <c r="S41" s="213" t="str">
        <f>B41</f>
        <v>Expenses</v>
      </c>
      <c r="T41" s="214">
        <f>T24+SUM(T26:T35)+T37+T39+T38</f>
        <v>37115859.025271766</v>
      </c>
      <c r="U41" s="214">
        <f t="shared" ref="U41:X41" si="16">U24+SUM(U26:U35)+U37+U39+U38</f>
        <v>37115859.100700341</v>
      </c>
      <c r="V41" s="214">
        <f t="shared" si="16"/>
        <v>37115859.100700341</v>
      </c>
      <c r="W41" s="214">
        <f t="shared" si="16"/>
        <v>37115859.100700341</v>
      </c>
      <c r="X41" s="214">
        <f t="shared" si="16"/>
        <v>37115859.100700341</v>
      </c>
      <c r="Y41" s="214"/>
    </row>
    <row r="42" spans="1:25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T42" s="1"/>
      <c r="U42" s="3"/>
      <c r="V42" s="3"/>
      <c r="W42" s="3"/>
      <c r="X42" s="3"/>
      <c r="Y42" s="1"/>
    </row>
    <row r="43" spans="1:25">
      <c r="B43" t="str">
        <f>CashFlow!C71</f>
        <v>Disappointing Customers</v>
      </c>
      <c r="D43" s="1">
        <f>CashFlow!G71</f>
        <v>0</v>
      </c>
      <c r="E43" s="1">
        <f>CashFlow!H71</f>
        <v>0</v>
      </c>
      <c r="F43" s="1">
        <f>CashFlow!I71</f>
        <v>0</v>
      </c>
      <c r="G43" s="1">
        <f>CashFlow!J71</f>
        <v>0</v>
      </c>
      <c r="H43" s="1">
        <f>CashFlow!K71</f>
        <v>295822.80000000005</v>
      </c>
      <c r="I43" s="1">
        <f>CashFlow!L71</f>
        <v>1183291.2000000002</v>
      </c>
      <c r="J43" s="1">
        <f>CashFlow!M71</f>
        <v>1263492.0480000002</v>
      </c>
      <c r="K43" s="1">
        <f>CashFlow!N71</f>
        <v>1263492.0480000002</v>
      </c>
      <c r="L43" s="1">
        <f>CashFlow!O71</f>
        <v>1030778.1120000002</v>
      </c>
      <c r="M43" s="1">
        <f>CashFlow!P71</f>
        <v>1263492.0480000002</v>
      </c>
      <c r="N43" s="1">
        <f>CashFlow!Q71</f>
        <v>1183291.2000000002</v>
      </c>
      <c r="O43" s="1">
        <f>CashFlow!R71</f>
        <v>1263492.0480000002</v>
      </c>
      <c r="P43" s="1">
        <f>SUM(D43:O43)</f>
        <v>8747151.5040000007</v>
      </c>
      <c r="S43" t="str">
        <f>B43</f>
        <v>Disappointing Customers</v>
      </c>
      <c r="T43" s="1">
        <f>P43</f>
        <v>8747151.5040000007</v>
      </c>
      <c r="U43" s="3">
        <f>T43</f>
        <v>8747151.5040000007</v>
      </c>
      <c r="V43" s="3">
        <f t="shared" ref="V43:X43" si="17">U43</f>
        <v>8747151.5040000007</v>
      </c>
      <c r="W43" s="3">
        <f t="shared" si="17"/>
        <v>8747151.5040000007</v>
      </c>
      <c r="X43" s="3">
        <f t="shared" si="17"/>
        <v>8747151.5040000007</v>
      </c>
      <c r="Y43" s="1" t="s">
        <v>520</v>
      </c>
    </row>
    <row r="44" spans="1:25">
      <c r="B44" t="str">
        <f>CashFlow!C72</f>
        <v>Disappointing Employees</v>
      </c>
      <c r="D44" s="1">
        <f>CashFlow!G72</f>
        <v>0</v>
      </c>
      <c r="E44" s="1">
        <f>CashFlow!H72</f>
        <v>0</v>
      </c>
      <c r="F44" s="1">
        <f>CashFlow!I72</f>
        <v>0</v>
      </c>
      <c r="G44" s="1">
        <f>CashFlow!J72</f>
        <v>0</v>
      </c>
      <c r="H44" s="1">
        <f>CashFlow!K72</f>
        <v>147911.40000000002</v>
      </c>
      <c r="I44" s="1">
        <f>CashFlow!L72</f>
        <v>591645.60000000009</v>
      </c>
      <c r="J44" s="1">
        <f>CashFlow!M72</f>
        <v>631746.02400000009</v>
      </c>
      <c r="K44" s="1">
        <f>CashFlow!N72</f>
        <v>631746.02400000009</v>
      </c>
      <c r="L44" s="1">
        <f>CashFlow!O72</f>
        <v>515389.0560000001</v>
      </c>
      <c r="M44" s="1">
        <f>CashFlow!P72</f>
        <v>631746.02400000009</v>
      </c>
      <c r="N44" s="1">
        <f>CashFlow!Q72</f>
        <v>591645.60000000009</v>
      </c>
      <c r="O44" s="1">
        <f>CashFlow!R72</f>
        <v>631746.02400000009</v>
      </c>
      <c r="P44" s="1">
        <f>SUM(D44:O44)</f>
        <v>4373575.7520000003</v>
      </c>
      <c r="S44" t="str">
        <f>B44</f>
        <v>Disappointing Employees</v>
      </c>
      <c r="T44" s="1">
        <f>P44</f>
        <v>4373575.7520000003</v>
      </c>
      <c r="U44" s="3">
        <f>T44</f>
        <v>4373575.7520000003</v>
      </c>
      <c r="V44" s="3">
        <f t="shared" ref="V44:X44" si="18">U44</f>
        <v>4373575.7520000003</v>
      </c>
      <c r="W44" s="3">
        <f t="shared" si="18"/>
        <v>4373575.7520000003</v>
      </c>
      <c r="X44" s="3">
        <f t="shared" si="18"/>
        <v>4373575.7520000003</v>
      </c>
      <c r="Y44" s="1" t="s">
        <v>520</v>
      </c>
    </row>
    <row r="45" spans="1:25">
      <c r="B45" t="s">
        <v>545</v>
      </c>
      <c r="D45" s="1">
        <f>CashFlow!G73</f>
        <v>0</v>
      </c>
      <c r="E45" s="1">
        <f>CashFlow!H73</f>
        <v>0</v>
      </c>
      <c r="F45" s="1">
        <f>CashFlow!I73</f>
        <v>0</v>
      </c>
      <c r="G45" s="1">
        <f>CashFlow!J73</f>
        <v>0</v>
      </c>
      <c r="H45" s="1">
        <f>CashFlow!K73</f>
        <v>591645.60000000009</v>
      </c>
      <c r="I45" s="1">
        <f>CashFlow!L73</f>
        <v>2366582.4000000004</v>
      </c>
      <c r="J45" s="1">
        <f>CashFlow!M73</f>
        <v>2526984.0960000004</v>
      </c>
      <c r="K45" s="1">
        <f>CashFlow!N73</f>
        <v>2526984.0960000004</v>
      </c>
      <c r="L45" s="1">
        <f>CashFlow!O73</f>
        <v>2061556.2240000004</v>
      </c>
      <c r="M45" s="1">
        <f>CashFlow!P73</f>
        <v>2526984.0960000004</v>
      </c>
      <c r="N45" s="1">
        <f>CashFlow!Q73</f>
        <v>2366582.4000000004</v>
      </c>
      <c r="O45" s="1">
        <f>CashFlow!R73</f>
        <v>2526984.0960000004</v>
      </c>
      <c r="P45" s="1">
        <f>SUM(D45:O45)</f>
        <v>17494303.008000001</v>
      </c>
      <c r="S45" t="str">
        <f>B45</f>
        <v>Rare Events</v>
      </c>
      <c r="T45" s="1">
        <f>P45</f>
        <v>17494303.008000001</v>
      </c>
      <c r="U45" s="1">
        <f>T45</f>
        <v>17494303.008000001</v>
      </c>
      <c r="V45" s="1">
        <f t="shared" ref="V45:X45" si="19">U45</f>
        <v>17494303.008000001</v>
      </c>
      <c r="W45" s="1">
        <f t="shared" si="19"/>
        <v>17494303.008000001</v>
      </c>
      <c r="X45" s="1">
        <f t="shared" si="19"/>
        <v>17494303.008000001</v>
      </c>
      <c r="Y45" s="1" t="s">
        <v>520</v>
      </c>
    </row>
    <row r="46" spans="1:25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T46" s="1"/>
      <c r="U46" s="3"/>
      <c r="V46" s="3"/>
      <c r="W46" s="3"/>
      <c r="X46" s="3"/>
      <c r="Y46" s="1"/>
    </row>
    <row r="47" spans="1:25">
      <c r="B47" t="s">
        <v>57</v>
      </c>
      <c r="C47">
        <f>Balance!C59</f>
        <v>60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>
        <f>P51/Balance!$C$59</f>
        <v>2634579.9790476183</v>
      </c>
      <c r="S47" t="s">
        <v>57</v>
      </c>
      <c r="T47" s="1">
        <f>P47</f>
        <v>2634579.9790476183</v>
      </c>
      <c r="U47" s="3">
        <f>T53/Balance!$C$59</f>
        <v>2458941.3137777769</v>
      </c>
      <c r="V47" s="3">
        <f>U53/Balance!$C$59</f>
        <v>2286229.9595957668</v>
      </c>
      <c r="W47" s="3">
        <f>V53/Balance!$C$59</f>
        <v>2116397.1279834565</v>
      </c>
      <c r="X47" s="3">
        <f>W53/Balance!$C$59</f>
        <v>1949394.8435646847</v>
      </c>
      <c r="Y47" s="1" t="s">
        <v>520</v>
      </c>
    </row>
    <row r="49" spans="2:25">
      <c r="B49" t="s">
        <v>491</v>
      </c>
      <c r="D49" s="1">
        <f>CashFlow!G41</f>
        <v>658644.99476190459</v>
      </c>
      <c r="E49" s="1">
        <f>CashFlow!H41</f>
        <v>658644.99476190459</v>
      </c>
      <c r="F49" s="1">
        <f>CashFlow!I41</f>
        <v>658644.99476190459</v>
      </c>
      <c r="G49" s="1">
        <f>CashFlow!J41</f>
        <v>658644.99476190459</v>
      </c>
      <c r="H49" s="1">
        <f>CashFlow!K41</f>
        <v>658644.99476190459</v>
      </c>
      <c r="I49" s="1">
        <f>CashFlow!L41</f>
        <v>658644.99476190459</v>
      </c>
      <c r="J49" s="1">
        <f>CashFlow!M41</f>
        <v>658644.99476190459</v>
      </c>
      <c r="K49" s="1">
        <f>CashFlow!N41</f>
        <v>658644.99476190459</v>
      </c>
      <c r="L49" s="1">
        <f>CashFlow!O41</f>
        <v>658644.99476190459</v>
      </c>
      <c r="M49" s="1">
        <f>CashFlow!P41</f>
        <v>658644.99476190459</v>
      </c>
      <c r="N49" s="1">
        <f>CashFlow!Q41</f>
        <v>658644.99476190459</v>
      </c>
      <c r="O49" s="1">
        <f>CashFlow!R41</f>
        <v>658644.99476190459</v>
      </c>
      <c r="P49" s="1">
        <f t="shared" si="1"/>
        <v>7903739.9371428555</v>
      </c>
      <c r="Q49" s="7"/>
      <c r="S49" t="s">
        <v>546</v>
      </c>
      <c r="T49">
        <v>60000000</v>
      </c>
    </row>
    <row r="50" spans="2:25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7">
        <v>0.06</v>
      </c>
      <c r="T50" s="1"/>
      <c r="U50" s="1"/>
      <c r="V50" s="1"/>
      <c r="W50" s="1"/>
      <c r="X50" s="1"/>
      <c r="Y50" s="1"/>
    </row>
    <row r="51" spans="2:25">
      <c r="B51" t="str">
        <f>CashFlow!C53</f>
        <v>Facility Expense</v>
      </c>
      <c r="D51" s="1">
        <f>CashFlow!G53</f>
        <v>33844876.60952381</v>
      </c>
      <c r="E51" s="1">
        <f>CashFlow!H53</f>
        <v>45832215.466666661</v>
      </c>
      <c r="F51" s="1">
        <f>CashFlow!I53</f>
        <v>17247770.666666668</v>
      </c>
      <c r="G51" s="1">
        <f>CashFlow!J53</f>
        <v>17247770.666666668</v>
      </c>
      <c r="H51" s="1">
        <f>CashFlow!K53</f>
        <v>17247770.666666668</v>
      </c>
      <c r="I51" s="1">
        <f>CashFlow!L53</f>
        <v>3807770.6666666665</v>
      </c>
      <c r="J51" s="1">
        <f>CashFlow!M53</f>
        <v>3807770.6666666665</v>
      </c>
      <c r="K51" s="1">
        <f>CashFlow!N53</f>
        <v>3807770.6666666665</v>
      </c>
      <c r="L51" s="1">
        <f>CashFlow!O53</f>
        <v>3807770.6666666665</v>
      </c>
      <c r="M51" s="1">
        <f>CashFlow!P53</f>
        <v>3807770.6666666665</v>
      </c>
      <c r="N51" s="1">
        <f>CashFlow!Q53</f>
        <v>3807770.6666666665</v>
      </c>
      <c r="O51" s="1">
        <f>CashFlow!R53</f>
        <v>3807770.6666666665</v>
      </c>
      <c r="P51" s="1">
        <f t="shared" si="1"/>
        <v>158074798.7428571</v>
      </c>
      <c r="Q51" s="7"/>
      <c r="U51" s="3"/>
      <c r="V51" s="3"/>
      <c r="W51" s="3"/>
      <c r="X51" s="3"/>
      <c r="Y51" s="1"/>
    </row>
    <row r="52" spans="2:25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7"/>
      <c r="S52" t="s">
        <v>537</v>
      </c>
      <c r="T52" s="1">
        <f>P51</f>
        <v>158074798.7428571</v>
      </c>
      <c r="U52" s="3">
        <f>$T$52/$T$3*U$3*($T$3-U$3)</f>
        <v>0</v>
      </c>
      <c r="V52" s="3">
        <f t="shared" ref="V52:X52" si="20">$T$52/$T$3*V$3*($T$3-V$3)</f>
        <v>0</v>
      </c>
      <c r="W52" s="3">
        <f t="shared" si="20"/>
        <v>0</v>
      </c>
      <c r="X52" s="3">
        <f t="shared" si="20"/>
        <v>0</v>
      </c>
      <c r="Y52" s="1"/>
    </row>
    <row r="53" spans="2:25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7"/>
      <c r="S53" t="s">
        <v>538</v>
      </c>
      <c r="T53" s="1">
        <f>T52-T47-T38</f>
        <v>147536478.82666662</v>
      </c>
      <c r="U53" s="3">
        <f>T53+U52-U47-U38</f>
        <v>137173797.575746</v>
      </c>
      <c r="V53" s="3">
        <f>U53+V52-V47-V38</f>
        <v>126983827.67900738</v>
      </c>
      <c r="W53" s="3">
        <f>V53+W52-W47-W38</f>
        <v>116963690.61388108</v>
      </c>
      <c r="X53" s="3">
        <f>W53+X52-X47-X38</f>
        <v>107110555.83317354</v>
      </c>
      <c r="Y53" s="1"/>
    </row>
    <row r="54" spans="2:25"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S54" t="s">
        <v>507</v>
      </c>
      <c r="T54" s="238">
        <f>P51/T38</f>
        <v>20</v>
      </c>
    </row>
    <row r="55" spans="2:25">
      <c r="P55" s="1"/>
      <c r="T55" s="1"/>
      <c r="U55" s="3"/>
      <c r="V55" s="3"/>
      <c r="W55" s="3"/>
      <c r="X55" s="3"/>
      <c r="Y55" s="1"/>
    </row>
    <row r="57" spans="2:25" s="190" customFormat="1">
      <c r="B57" s="190" t="s">
        <v>478</v>
      </c>
      <c r="D57" s="189">
        <f>D41+D16</f>
        <v>2792164.5886666663</v>
      </c>
      <c r="E57" s="189">
        <f>E41</f>
        <v>991234.15199999977</v>
      </c>
      <c r="F57" s="189">
        <f>F41</f>
        <v>991234.15199999977</v>
      </c>
      <c r="G57" s="189">
        <f>G41</f>
        <v>991275.81866666651</v>
      </c>
      <c r="H57" s="189">
        <f>H41</f>
        <v>991234.15199999977</v>
      </c>
      <c r="I57" s="189">
        <f>I41</f>
        <v>1091388.1649142858</v>
      </c>
      <c r="J57" s="189">
        <f>J41</f>
        <v>2253670.0868187938</v>
      </c>
      <c r="K57" s="189">
        <f>K41</f>
        <v>2288882.767762301</v>
      </c>
      <c r="L57" s="189">
        <f>L41</f>
        <v>2286770.0069056903</v>
      </c>
      <c r="M57" s="189">
        <f>M41</f>
        <v>1985877.5025489391</v>
      </c>
      <c r="N57" s="189">
        <f>N41</f>
        <v>2297150.3228184921</v>
      </c>
      <c r="O57" s="189">
        <f>O41</f>
        <v>2177420.8851223192</v>
      </c>
      <c r="P57" s="189">
        <f>P41+P16</f>
        <v>290638082.01955754</v>
      </c>
      <c r="S57" s="190" t="str">
        <f>B57</f>
        <v>Total Costs</v>
      </c>
      <c r="T57" s="189">
        <f>T41+T16+T47+T38+T43+T44+T45+T49</f>
        <v>409179660.06146228</v>
      </c>
      <c r="U57" s="189">
        <f t="shared" ref="U57:X57" si="21">U41+U16+U47+U38+U43+U44+U45</f>
        <v>343585812.45450103</v>
      </c>
      <c r="V57" s="189">
        <f t="shared" si="21"/>
        <v>338103256.2635414</v>
      </c>
      <c r="W57" s="189">
        <f t="shared" si="21"/>
        <v>332729776.07277328</v>
      </c>
      <c r="X57" s="189">
        <f t="shared" si="21"/>
        <v>327463198.22622705</v>
      </c>
      <c r="Y57" s="189"/>
    </row>
    <row r="58" spans="2:25"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T58" s="1"/>
      <c r="U58" s="1"/>
      <c r="V58" s="1"/>
      <c r="W58" s="1"/>
      <c r="X58" s="1"/>
      <c r="Y58" s="1"/>
    </row>
    <row r="59" spans="2:25"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T59" s="1"/>
      <c r="U59" s="1"/>
      <c r="V59" s="1"/>
      <c r="W59" s="1"/>
      <c r="X59" s="1"/>
      <c r="Y59" s="1"/>
    </row>
    <row r="60" spans="2:25" s="211" customFormat="1">
      <c r="B60" s="211" t="s">
        <v>37</v>
      </c>
      <c r="D60" s="212">
        <f>D14</f>
        <v>57521.099999999991</v>
      </c>
      <c r="E60" s="212">
        <f>E14</f>
        <v>57521.099999999991</v>
      </c>
      <c r="F60" s="212">
        <f>F14</f>
        <v>257521.09999999998</v>
      </c>
      <c r="G60" s="212">
        <f>G14</f>
        <v>157521.09999999998</v>
      </c>
      <c r="H60" s="212">
        <f>H14</f>
        <v>14948661.100000001</v>
      </c>
      <c r="I60" s="212">
        <f>I14</f>
        <v>59322081.100000009</v>
      </c>
      <c r="J60" s="212">
        <f>J14</f>
        <v>63432123.500000015</v>
      </c>
      <c r="K60" s="212">
        <f>K14</f>
        <v>63432123.500000015</v>
      </c>
      <c r="L60" s="212">
        <f>L14</f>
        <v>51596426.70000001</v>
      </c>
      <c r="M60" s="212">
        <f>M14</f>
        <v>63232123.500000015</v>
      </c>
      <c r="N60" s="212">
        <f>N14</f>
        <v>59222081.100000009</v>
      </c>
      <c r="O60" s="212">
        <f>O14</f>
        <v>63232123.500000015</v>
      </c>
      <c r="P60" s="212">
        <f>P14</f>
        <v>438947828.4000001</v>
      </c>
      <c r="S60" s="211" t="str">
        <f>S14</f>
        <v>Revenues</v>
      </c>
      <c r="T60" s="212">
        <f>T14</f>
        <v>438947828.4000001</v>
      </c>
      <c r="U60" s="212">
        <f>U14</f>
        <v>438947828.4000001</v>
      </c>
      <c r="V60" s="212">
        <f>V14</f>
        <v>438947828.4000001</v>
      </c>
      <c r="W60" s="212">
        <f>W14</f>
        <v>438947829.4000001</v>
      </c>
      <c r="X60" s="212">
        <f>X14</f>
        <v>438947828.4000001</v>
      </c>
      <c r="Y60" s="212"/>
    </row>
    <row r="61" spans="2:25"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T61" s="1"/>
      <c r="U61" s="1"/>
      <c r="V61" s="1"/>
      <c r="W61" s="1"/>
      <c r="X61" s="1"/>
      <c r="Y61" s="1"/>
    </row>
    <row r="62" spans="2:25" s="216" customFormat="1">
      <c r="B62" s="216" t="s">
        <v>540</v>
      </c>
      <c r="D62" s="208">
        <f>D60-D57</f>
        <v>-2734643.4886666662</v>
      </c>
      <c r="E62" s="208">
        <f t="shared" ref="E62:O62" si="22">E60-E57</f>
        <v>-933713.05199999979</v>
      </c>
      <c r="F62" s="208">
        <f t="shared" si="22"/>
        <v>-733713.05199999979</v>
      </c>
      <c r="G62" s="208">
        <f t="shared" si="22"/>
        <v>-833754.71866666654</v>
      </c>
      <c r="H62" s="208">
        <f t="shared" si="22"/>
        <v>13957426.948000003</v>
      </c>
      <c r="I62" s="208">
        <f t="shared" si="22"/>
        <v>58230692.935085721</v>
      </c>
      <c r="J62" s="208">
        <f t="shared" si="22"/>
        <v>61178453.413181223</v>
      </c>
      <c r="K62" s="208">
        <f t="shared" si="22"/>
        <v>61143240.732237712</v>
      </c>
      <c r="L62" s="208">
        <f t="shared" si="22"/>
        <v>49309656.693094321</v>
      </c>
      <c r="M62" s="208">
        <f t="shared" si="22"/>
        <v>61246245.997451074</v>
      </c>
      <c r="N62" s="208">
        <f t="shared" si="22"/>
        <v>56924930.777181514</v>
      </c>
      <c r="O62" s="208">
        <f t="shared" si="22"/>
        <v>61054702.614877693</v>
      </c>
      <c r="P62" s="208">
        <f>P60-P57</f>
        <v>148309746.38044256</v>
      </c>
      <c r="S62" s="216" t="str">
        <f>B62</f>
        <v>PreTax Profits</v>
      </c>
      <c r="T62" s="208">
        <f>T60-T57</f>
        <v>29768168.338537812</v>
      </c>
      <c r="U62" s="208">
        <f>U60-U57</f>
        <v>95362015.945499063</v>
      </c>
      <c r="V62" s="208">
        <f t="shared" ref="V62:X62" si="23">V60-V57</f>
        <v>100844572.13645869</v>
      </c>
      <c r="W62" s="208">
        <f t="shared" si="23"/>
        <v>106218053.32722682</v>
      </c>
      <c r="X62" s="208">
        <f t="shared" si="23"/>
        <v>111484630.17377305</v>
      </c>
      <c r="Y62" s="208"/>
    </row>
    <row r="63" spans="2:25" s="216" customFormat="1">
      <c r="B63" s="216" t="s">
        <v>541</v>
      </c>
      <c r="D63" s="217">
        <f>IF(D62-D57&gt;0,ROUND((D62-D57)/D62,2),0)</f>
        <v>0</v>
      </c>
      <c r="E63" s="217">
        <f t="shared" ref="E63:P63" si="24">IF(E62-E57&gt;0,ROUND((E62-E57)/E62,2),0)</f>
        <v>0</v>
      </c>
      <c r="F63" s="217">
        <f t="shared" si="24"/>
        <v>0</v>
      </c>
      <c r="G63" s="217">
        <f t="shared" si="24"/>
        <v>0</v>
      </c>
      <c r="H63" s="217">
        <f t="shared" si="24"/>
        <v>0.93</v>
      </c>
      <c r="I63" s="217">
        <f t="shared" si="24"/>
        <v>0.98</v>
      </c>
      <c r="J63" s="217">
        <f t="shared" si="24"/>
        <v>0.96</v>
      </c>
      <c r="K63" s="217">
        <f t="shared" si="24"/>
        <v>0.96</v>
      </c>
      <c r="L63" s="217">
        <f t="shared" si="24"/>
        <v>0.95</v>
      </c>
      <c r="M63" s="217">
        <f t="shared" si="24"/>
        <v>0.97</v>
      </c>
      <c r="N63" s="217">
        <f t="shared" si="24"/>
        <v>0.96</v>
      </c>
      <c r="O63" s="217">
        <f t="shared" si="24"/>
        <v>0.96</v>
      </c>
      <c r="P63" s="217">
        <f t="shared" si="24"/>
        <v>0</v>
      </c>
      <c r="S63" s="216" t="str">
        <f>B63</f>
        <v>% PreTax</v>
      </c>
      <c r="T63" s="217">
        <f>IF(T60-T57&gt;0,ROUND((T60-T57)/T60,2),0)</f>
        <v>7.0000000000000007E-2</v>
      </c>
      <c r="U63" s="217">
        <f t="shared" ref="U63:X63" si="25">IF(U60-U57&gt;0,ROUND((U60-U57)/U60,2),0)</f>
        <v>0.22</v>
      </c>
      <c r="V63" s="217">
        <f t="shared" si="25"/>
        <v>0.23</v>
      </c>
      <c r="W63" s="217">
        <f t="shared" si="25"/>
        <v>0.24</v>
      </c>
      <c r="X63" s="217">
        <f t="shared" si="25"/>
        <v>0.25</v>
      </c>
      <c r="Y63" s="217"/>
    </row>
    <row r="64" spans="2:25"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T64" s="1"/>
      <c r="U64" s="1"/>
      <c r="V64" s="1"/>
      <c r="W64" s="1"/>
      <c r="X64" s="1"/>
      <c r="Y64" s="1"/>
    </row>
    <row r="65" spans="2:25">
      <c r="B65" t="s">
        <v>39</v>
      </c>
      <c r="D65" s="1">
        <f>D60-D57</f>
        <v>-2734643.4886666662</v>
      </c>
      <c r="E65" s="1">
        <f t="shared" ref="E65:P65" si="26">E60-E57</f>
        <v>-933713.05199999979</v>
      </c>
      <c r="F65" s="1">
        <f t="shared" si="26"/>
        <v>-733713.05199999979</v>
      </c>
      <c r="G65" s="1">
        <f t="shared" si="26"/>
        <v>-833754.71866666654</v>
      </c>
      <c r="H65" s="1">
        <f t="shared" si="26"/>
        <v>13957426.948000003</v>
      </c>
      <c r="I65" s="1">
        <f t="shared" si="26"/>
        <v>58230692.935085721</v>
      </c>
      <c r="J65" s="1">
        <f t="shared" si="26"/>
        <v>61178453.413181223</v>
      </c>
      <c r="K65" s="1">
        <f t="shared" si="26"/>
        <v>61143240.732237712</v>
      </c>
      <c r="L65" s="1">
        <f t="shared" si="26"/>
        <v>49309656.693094321</v>
      </c>
      <c r="M65" s="1">
        <f t="shared" si="26"/>
        <v>61246245.997451074</v>
      </c>
      <c r="N65" s="1">
        <f t="shared" si="26"/>
        <v>56924930.777181514</v>
      </c>
      <c r="O65" s="1">
        <f t="shared" si="26"/>
        <v>61054702.614877693</v>
      </c>
      <c r="P65" s="1">
        <f t="shared" si="26"/>
        <v>148309746.38044256</v>
      </c>
      <c r="S65" t="str">
        <f>B65</f>
        <v>Pretax Profits</v>
      </c>
      <c r="T65" s="1">
        <f>T60-T57</f>
        <v>29768168.338537812</v>
      </c>
      <c r="U65" s="1">
        <f>U60-U57-U47</f>
        <v>92903074.631721288</v>
      </c>
      <c r="V65" s="1">
        <f>V60-V57-V47</f>
        <v>98558342.176862925</v>
      </c>
      <c r="W65" s="1">
        <f>W60-W57-W47</f>
        <v>104101656.19924337</v>
      </c>
      <c r="X65" s="1">
        <f>X60-X57-X47</f>
        <v>109535235.33020836</v>
      </c>
      <c r="Y65" s="1"/>
    </row>
    <row r="66" spans="2:25">
      <c r="R66" s="7">
        <v>0.35</v>
      </c>
      <c r="S66" s="7" t="s">
        <v>539</v>
      </c>
      <c r="T66" s="1">
        <f>T65*$R$66</f>
        <v>10418858.918488234</v>
      </c>
      <c r="U66" s="1">
        <f t="shared" ref="U66:X66" si="27">U65*$R$66</f>
        <v>32516076.121102449</v>
      </c>
      <c r="V66" s="1">
        <f t="shared" si="27"/>
        <v>34495419.761902019</v>
      </c>
      <c r="W66" s="1">
        <f t="shared" si="27"/>
        <v>36435579.669735178</v>
      </c>
      <c r="X66" s="1">
        <f t="shared" si="27"/>
        <v>38337332.365572922</v>
      </c>
      <c r="Y66" s="2"/>
    </row>
    <row r="67" spans="2:25">
      <c r="S67" t="s">
        <v>106</v>
      </c>
      <c r="T67" s="1">
        <f>T65-T66</f>
        <v>19349309.420049578</v>
      </c>
      <c r="U67" s="1">
        <f t="shared" ref="U67:X67" si="28">U65-U66</f>
        <v>60386998.510618836</v>
      </c>
      <c r="V67" s="1">
        <f t="shared" si="28"/>
        <v>64062922.414960906</v>
      </c>
      <c r="W67" s="1">
        <f t="shared" si="28"/>
        <v>67666076.529508188</v>
      </c>
      <c r="X67" s="1">
        <f t="shared" si="28"/>
        <v>71197902.964635432</v>
      </c>
    </row>
    <row r="68" spans="2:25">
      <c r="D68" s="1"/>
      <c r="R68" t="s">
        <v>53</v>
      </c>
    </row>
    <row r="69" spans="2:25">
      <c r="B69" t="s">
        <v>488</v>
      </c>
      <c r="D69" s="210">
        <f>CashFlow!D131</f>
        <v>1</v>
      </c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S69" t="s">
        <v>209</v>
      </c>
      <c r="T69">
        <f>T3</f>
        <v>24</v>
      </c>
      <c r="U69">
        <f t="shared" ref="U69:X69" si="29">U3</f>
        <v>0</v>
      </c>
      <c r="V69">
        <f t="shared" si="29"/>
        <v>0</v>
      </c>
      <c r="W69">
        <f t="shared" si="29"/>
        <v>0</v>
      </c>
      <c r="X69">
        <f t="shared" si="29"/>
        <v>0</v>
      </c>
    </row>
    <row r="70" spans="2:25">
      <c r="S70" t="s">
        <v>210</v>
      </c>
      <c r="T70" s="1">
        <f>T52</f>
        <v>158074798.7428571</v>
      </c>
      <c r="U70" s="3">
        <f>U69*$S$85</f>
        <v>0</v>
      </c>
      <c r="V70" s="3">
        <f>V69*$S$85</f>
        <v>0</v>
      </c>
      <c r="W70" s="3">
        <f>W69*$S$85</f>
        <v>0</v>
      </c>
      <c r="X70" s="3">
        <f>X69*$S$85</f>
        <v>0</v>
      </c>
    </row>
    <row r="71" spans="2:25">
      <c r="S71" t="s">
        <v>481</v>
      </c>
      <c r="T71">
        <v>0</v>
      </c>
      <c r="U71" s="109">
        <f>U70+T71-U50</f>
        <v>0</v>
      </c>
      <c r="V71" s="109">
        <f>V70-V50</f>
        <v>0</v>
      </c>
      <c r="W71" s="109">
        <f>W70-W50</f>
        <v>0</v>
      </c>
      <c r="X71" s="109">
        <f>X70-X50</f>
        <v>0</v>
      </c>
    </row>
    <row r="73" spans="2:25">
      <c r="S73" t="s">
        <v>463</v>
      </c>
    </row>
    <row r="74" spans="2:25">
      <c r="P74" t="s">
        <v>476</v>
      </c>
      <c r="Q74" s="1">
        <f>CashFlow!R59</f>
        <v>849121</v>
      </c>
      <c r="S74" s="1">
        <f>'JPods Summary'!F25</f>
        <v>27391</v>
      </c>
    </row>
    <row r="75" spans="2:25">
      <c r="S75" t="s">
        <v>477</v>
      </c>
    </row>
    <row r="76" spans="2:25">
      <c r="S76" s="4">
        <v>0.56000000000000005</v>
      </c>
    </row>
    <row r="78" spans="2:25">
      <c r="S78" t="s">
        <v>54</v>
      </c>
    </row>
    <row r="79" spans="2:25">
      <c r="S79">
        <v>365</v>
      </c>
    </row>
    <row r="81" spans="19:19">
      <c r="S81" t="s">
        <v>55</v>
      </c>
    </row>
    <row r="82" spans="19:19">
      <c r="S82">
        <v>5.8</v>
      </c>
    </row>
    <row r="84" spans="19:19">
      <c r="S84" t="s">
        <v>495</v>
      </c>
    </row>
    <row r="85" spans="19:19">
      <c r="S85" s="3">
        <v>9000000</v>
      </c>
    </row>
    <row r="87" spans="19:19">
      <c r="S87" t="s">
        <v>208</v>
      </c>
    </row>
    <row r="88" spans="19:19">
      <c r="S88">
        <v>20</v>
      </c>
    </row>
    <row r="91" spans="19:19">
      <c r="S91" s="3"/>
    </row>
  </sheetData>
  <phoneticPr fontId="3" type="noConversion"/>
  <pageMargins left="0.75" right="0.75" top="1" bottom="1" header="0.5" footer="0.5"/>
  <pageSetup scale="7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2:O63"/>
  <sheetViews>
    <sheetView topLeftCell="A5" workbookViewId="0">
      <selection activeCell="E56" sqref="E56"/>
    </sheetView>
  </sheetViews>
  <sheetFormatPr baseColWidth="10" defaultRowHeight="13" x14ac:dyDescent="0"/>
  <cols>
    <col min="1" max="1" width="2.85546875" customWidth="1"/>
    <col min="2" max="2" width="24.140625" customWidth="1"/>
    <col min="3" max="3" width="14.5703125" style="3" customWidth="1"/>
    <col min="4" max="4" width="16" style="3" customWidth="1"/>
    <col min="5" max="8" width="15.85546875" style="3" customWidth="1"/>
    <col min="9" max="9" width="9" customWidth="1"/>
    <col min="10" max="10" width="10.85546875" style="3" customWidth="1"/>
    <col min="11" max="11" width="14.7109375" style="3" customWidth="1"/>
    <col min="12" max="12" width="15.42578125" style="3" customWidth="1"/>
    <col min="13" max="15" width="13.28515625" style="3" customWidth="1"/>
  </cols>
  <sheetData>
    <row r="2" spans="2:15">
      <c r="B2" s="27" t="s">
        <v>45</v>
      </c>
      <c r="C2" s="33"/>
    </row>
    <row r="3" spans="2:15">
      <c r="B3" s="28" t="s">
        <v>46</v>
      </c>
      <c r="C3" s="34" t="s">
        <v>115</v>
      </c>
      <c r="D3" s="3" t="s">
        <v>111</v>
      </c>
      <c r="E3" s="3" t="s">
        <v>110</v>
      </c>
      <c r="F3" s="3" t="s">
        <v>112</v>
      </c>
      <c r="G3" s="3" t="s">
        <v>113</v>
      </c>
      <c r="H3" s="3" t="s">
        <v>114</v>
      </c>
      <c r="K3" s="3" t="s">
        <v>111</v>
      </c>
      <c r="L3" s="3" t="s">
        <v>110</v>
      </c>
      <c r="M3" s="3" t="s">
        <v>112</v>
      </c>
      <c r="N3" s="3" t="s">
        <v>113</v>
      </c>
      <c r="O3" s="3" t="s">
        <v>114</v>
      </c>
    </row>
    <row r="4" spans="2:15">
      <c r="B4" s="29" t="s">
        <v>47</v>
      </c>
      <c r="C4" s="35"/>
      <c r="J4" s="3" t="str">
        <f>'P&amp;L'!S14</f>
        <v>Revenues</v>
      </c>
      <c r="K4" s="3">
        <f>'P&amp;L'!T14</f>
        <v>438947828.4000001</v>
      </c>
      <c r="L4" s="3">
        <f>'P&amp;L'!U14</f>
        <v>438947828.4000001</v>
      </c>
      <c r="M4" s="3">
        <f>'P&amp;L'!V14</f>
        <v>438947828.4000001</v>
      </c>
      <c r="N4" s="3">
        <f>'P&amp;L'!W14</f>
        <v>438947829.4000001</v>
      </c>
      <c r="O4" s="3">
        <f>'P&amp;L'!X14</f>
        <v>438947828.4000001</v>
      </c>
    </row>
    <row r="5" spans="2:15">
      <c r="B5" s="30" t="s">
        <v>48</v>
      </c>
      <c r="C5" s="36"/>
      <c r="D5" s="3">
        <f>K19+$C$49</f>
        <v>25349309.420049578</v>
      </c>
      <c r="E5" s="3">
        <f>D5+L19</f>
        <v>78806147.068223953</v>
      </c>
      <c r="F5" s="3">
        <f>E5+M19</f>
        <v>135826646.24052209</v>
      </c>
      <c r="G5" s="3">
        <f t="shared" ref="G5:H5" si="0">F5+N19</f>
        <v>196339908.18681949</v>
      </c>
      <c r="H5" s="3">
        <f t="shared" si="0"/>
        <v>260276445.08337197</v>
      </c>
    </row>
    <row r="6" spans="2:15">
      <c r="B6" s="30" t="s">
        <v>49</v>
      </c>
      <c r="C6" s="36"/>
      <c r="D6" s="3">
        <f>K4*0.15</f>
        <v>65842174.260000013</v>
      </c>
      <c r="E6" s="3">
        <f>L4*0.15</f>
        <v>65842174.260000013</v>
      </c>
      <c r="F6" s="3">
        <f t="shared" ref="F6:H6" si="1">M4*0.15</f>
        <v>65842174.260000013</v>
      </c>
      <c r="G6" s="3">
        <f t="shared" si="1"/>
        <v>65842174.410000011</v>
      </c>
      <c r="H6" s="3">
        <f t="shared" si="1"/>
        <v>65842174.260000013</v>
      </c>
      <c r="J6" s="3" t="s">
        <v>478</v>
      </c>
      <c r="K6" s="3">
        <f>'P&amp;L'!T57</f>
        <v>409179660.06146228</v>
      </c>
      <c r="L6" s="3">
        <f>'P&amp;L'!U57</f>
        <v>343585812.45450103</v>
      </c>
      <c r="M6" s="3">
        <f>'P&amp;L'!V57</f>
        <v>338103256.2635414</v>
      </c>
      <c r="N6" s="3">
        <f>'P&amp;L'!W57</f>
        <v>332729776.07277328</v>
      </c>
      <c r="O6" s="3">
        <f>'P&amp;L'!X57</f>
        <v>327463198.22622705</v>
      </c>
    </row>
    <row r="7" spans="2:15">
      <c r="B7" s="30" t="s">
        <v>228</v>
      </c>
      <c r="C7" s="36"/>
      <c r="D7" s="3">
        <f>CashFlow!S77</f>
        <v>483177.24</v>
      </c>
      <c r="E7" s="3">
        <f>D7</f>
        <v>483177.24</v>
      </c>
      <c r="F7" s="3">
        <f t="shared" ref="F7:H7" si="2">E7</f>
        <v>483177.24</v>
      </c>
      <c r="G7" s="3">
        <f t="shared" si="2"/>
        <v>483177.24</v>
      </c>
      <c r="H7" s="3">
        <f t="shared" si="2"/>
        <v>483177.24</v>
      </c>
      <c r="I7" t="s">
        <v>547</v>
      </c>
    </row>
    <row r="8" spans="2:15">
      <c r="B8" s="30"/>
      <c r="C8" s="36"/>
    </row>
    <row r="9" spans="2:15">
      <c r="B9" s="31" t="s">
        <v>229</v>
      </c>
      <c r="C9" s="37"/>
      <c r="D9" s="3">
        <f>D5*0.15</f>
        <v>3802396.4130074363</v>
      </c>
      <c r="E9" s="3">
        <f t="shared" ref="E9:H9" si="3">E5*0.15</f>
        <v>11820922.060233593</v>
      </c>
      <c r="F9" s="3">
        <f t="shared" si="3"/>
        <v>20373996.936078314</v>
      </c>
      <c r="G9" s="3">
        <f t="shared" si="3"/>
        <v>29450986.228022922</v>
      </c>
      <c r="H9" s="3">
        <f t="shared" si="3"/>
        <v>39041466.762505792</v>
      </c>
    </row>
    <row r="10" spans="2:15">
      <c r="B10" s="29" t="s">
        <v>230</v>
      </c>
      <c r="C10" s="35"/>
      <c r="D10" s="3">
        <f>D5+D6+D7+D9</f>
        <v>95477057.333057031</v>
      </c>
      <c r="E10" s="3">
        <f>E5+E6+E7+E9</f>
        <v>156952420.62845758</v>
      </c>
      <c r="F10" s="3">
        <f>F5+F6+F7+F9</f>
        <v>222525994.67660043</v>
      </c>
      <c r="G10" s="3">
        <f>G5+G6+G7+G9</f>
        <v>292116246.06484246</v>
      </c>
      <c r="H10" s="3">
        <f>H5+H6+H7+H9</f>
        <v>365643263.34587777</v>
      </c>
    </row>
    <row r="11" spans="2:15">
      <c r="B11" s="28" t="s">
        <v>46</v>
      </c>
      <c r="C11" s="34"/>
    </row>
    <row r="12" spans="2:15">
      <c r="B12" s="29"/>
      <c r="C12" s="35"/>
    </row>
    <row r="13" spans="2:15">
      <c r="B13" s="30"/>
      <c r="C13" s="36"/>
      <c r="J13" s="3" t="str">
        <f>'P&amp;L'!S62</f>
        <v>PreTax Profits</v>
      </c>
      <c r="K13" s="3">
        <f>K4-K6</f>
        <v>29768168.338537812</v>
      </c>
      <c r="L13" s="3">
        <f>L4-L6-L26-L27</f>
        <v>82241288.68949905</v>
      </c>
      <c r="M13" s="3">
        <f>M4-M6-M26-M27</f>
        <v>87723844.880458683</v>
      </c>
      <c r="N13" s="3">
        <f>N4-N6-N26-N27</f>
        <v>93097326.071226805</v>
      </c>
      <c r="O13" s="3">
        <f>O4-O6-O26-O27</f>
        <v>98363902.917773038</v>
      </c>
    </row>
    <row r="14" spans="2:15">
      <c r="B14" s="30"/>
      <c r="C14" s="36"/>
      <c r="J14" s="3" t="str">
        <f>'P&amp;L'!S63</f>
        <v>% PreTax</v>
      </c>
      <c r="K14" s="2">
        <f>ROUND(K13/K4,2)</f>
        <v>7.0000000000000007E-2</v>
      </c>
      <c r="L14" s="2">
        <f>ROUND(L13/L4,2)</f>
        <v>0.19</v>
      </c>
      <c r="M14" s="2">
        <f>ROUND(M13/M4,2)</f>
        <v>0.2</v>
      </c>
      <c r="N14" s="2">
        <f>ROUND(N13/N4,2)</f>
        <v>0.21</v>
      </c>
      <c r="O14" s="2">
        <f>ROUND(O13/O4,2)</f>
        <v>0.22</v>
      </c>
    </row>
    <row r="15" spans="2:15">
      <c r="B15" s="29" t="s">
        <v>231</v>
      </c>
      <c r="C15" s="35"/>
      <c r="D15" s="139">
        <f>'P&amp;L'!T53</f>
        <v>147536478.82666662</v>
      </c>
      <c r="E15" s="139">
        <f>'P&amp;L'!U53</f>
        <v>137173797.575746</v>
      </c>
      <c r="F15" s="139">
        <f>'P&amp;L'!V53</f>
        <v>126983827.67900738</v>
      </c>
      <c r="G15" s="139">
        <f>'P&amp;L'!W53</f>
        <v>116963690.61388108</v>
      </c>
      <c r="H15" s="139">
        <f>'P&amp;L'!X53</f>
        <v>107110555.83317354</v>
      </c>
    </row>
    <row r="16" spans="2:15">
      <c r="B16" s="30" t="s">
        <v>92</v>
      </c>
      <c r="C16" s="36">
        <v>0</v>
      </c>
      <c r="D16" s="3">
        <f>'P&amp;L'!T47</f>
        <v>2634579.9790476183</v>
      </c>
      <c r="E16" s="3">
        <f>D16+'P&amp;L'!U47</f>
        <v>5093521.2928253952</v>
      </c>
      <c r="F16" s="3">
        <f>E16+'P&amp;L'!V47</f>
        <v>7379751.2524211621</v>
      </c>
      <c r="G16" s="3">
        <f>F16+'P&amp;L'!W47</f>
        <v>9496148.3804046176</v>
      </c>
      <c r="H16" s="3">
        <f>G16+'P&amp;L'!X47</f>
        <v>11445543.223969303</v>
      </c>
      <c r="J16" s="3" t="s">
        <v>539</v>
      </c>
    </row>
    <row r="17" spans="2:15">
      <c r="B17" s="31"/>
      <c r="C17" s="37"/>
      <c r="I17" s="7">
        <v>0.28000000000000003</v>
      </c>
      <c r="J17" s="2">
        <f>'P&amp;L'!R66</f>
        <v>0.35</v>
      </c>
      <c r="K17" s="3">
        <f>K13*$J$17</f>
        <v>10418858.918488234</v>
      </c>
      <c r="L17" s="3">
        <f>L13*$J$17</f>
        <v>28784451.041324668</v>
      </c>
      <c r="M17" s="3">
        <f>M13*$J$17</f>
        <v>30703345.708160538</v>
      </c>
      <c r="N17" s="3">
        <f>N13*$J$17</f>
        <v>32584064.12492938</v>
      </c>
      <c r="O17" s="3">
        <f>O13*$J$17</f>
        <v>34427366.021220565</v>
      </c>
    </row>
    <row r="18" spans="2:15">
      <c r="B18" s="29" t="s">
        <v>93</v>
      </c>
      <c r="C18" s="35"/>
      <c r="D18" s="3">
        <f>D15+D16</f>
        <v>150171058.80571425</v>
      </c>
      <c r="E18" s="3">
        <f>E15+E16</f>
        <v>142267318.8685714</v>
      </c>
      <c r="F18" s="3">
        <f>F15+F16</f>
        <v>134363578.93142855</v>
      </c>
      <c r="G18" s="3">
        <f>G15+G16</f>
        <v>126459838.9942857</v>
      </c>
      <c r="H18" s="3">
        <f>H15+H16</f>
        <v>118556099.05714285</v>
      </c>
    </row>
    <row r="19" spans="2:15">
      <c r="B19" s="28" t="s">
        <v>46</v>
      </c>
      <c r="C19" s="34"/>
      <c r="J19" s="3" t="s">
        <v>542</v>
      </c>
      <c r="K19" s="3">
        <f>$K$13-K17</f>
        <v>19349309.420049578</v>
      </c>
      <c r="L19" s="3">
        <f>L13-L17</f>
        <v>53456837.648174383</v>
      </c>
      <c r="M19" s="3">
        <f t="shared" ref="M19:O19" si="4">M13-M17</f>
        <v>57020499.172298148</v>
      </c>
      <c r="N19" s="3">
        <f t="shared" si="4"/>
        <v>60513261.946297422</v>
      </c>
      <c r="O19" s="3">
        <f t="shared" si="4"/>
        <v>63936536.896552473</v>
      </c>
    </row>
    <row r="20" spans="2:15">
      <c r="B20" s="29"/>
      <c r="C20" s="35"/>
    </row>
    <row r="21" spans="2:15">
      <c r="B21" s="29" t="s">
        <v>95</v>
      </c>
      <c r="C21" s="35"/>
      <c r="J21"/>
      <c r="K21"/>
      <c r="L21"/>
      <c r="M21"/>
      <c r="N21"/>
      <c r="O21"/>
    </row>
    <row r="22" spans="2:15">
      <c r="B22" s="30" t="s">
        <v>543</v>
      </c>
      <c r="C22" s="35"/>
      <c r="D22" s="3">
        <f>K26</f>
        <v>8747151.5040000007</v>
      </c>
      <c r="E22" s="3">
        <f>D22+L26</f>
        <v>17494303.008000001</v>
      </c>
      <c r="F22" s="3">
        <f>E22+M26</f>
        <v>26241454.512000002</v>
      </c>
      <c r="G22" s="3">
        <f>F22+N26</f>
        <v>34988606.016000003</v>
      </c>
      <c r="H22" s="3">
        <f>G22+O26</f>
        <v>43735757.520000003</v>
      </c>
      <c r="J22"/>
      <c r="K22"/>
      <c r="L22"/>
      <c r="M22"/>
      <c r="N22"/>
      <c r="O22"/>
    </row>
    <row r="23" spans="2:15">
      <c r="B23" s="30" t="s">
        <v>544</v>
      </c>
      <c r="C23" s="35"/>
      <c r="D23" s="3">
        <f>K27</f>
        <v>4373575.7520000003</v>
      </c>
      <c r="E23" s="3">
        <f>D23+L27</f>
        <v>8747151.5040000007</v>
      </c>
      <c r="F23" s="3">
        <f>E23+M27</f>
        <v>13120727.256000001</v>
      </c>
      <c r="G23" s="3">
        <f>F23+N27</f>
        <v>17494303.008000001</v>
      </c>
      <c r="H23" s="3">
        <f>G23+O27</f>
        <v>21867878.760000002</v>
      </c>
    </row>
    <row r="24" spans="2:15">
      <c r="B24" s="30" t="s">
        <v>545</v>
      </c>
      <c r="C24" s="35"/>
      <c r="D24" s="3">
        <f>K28</f>
        <v>17494303.008000001</v>
      </c>
      <c r="E24" s="3">
        <f>D24+L28</f>
        <v>34988606.016000003</v>
      </c>
      <c r="F24" s="3">
        <f>E24+M28</f>
        <v>52482909.024000004</v>
      </c>
      <c r="G24" s="3">
        <f>F24+N28</f>
        <v>69977212.032000005</v>
      </c>
      <c r="H24" s="3">
        <f>G24+O28</f>
        <v>87471515.040000007</v>
      </c>
    </row>
    <row r="25" spans="2:15">
      <c r="B25" s="29"/>
      <c r="C25" s="35"/>
    </row>
    <row r="26" spans="2:15">
      <c r="B26" s="29" t="s">
        <v>548</v>
      </c>
      <c r="C26" s="35"/>
      <c r="D26" s="3">
        <f ca="1">IF(D55&lt;D32,0,D55-D32)</f>
        <v>57827699.802679956</v>
      </c>
      <c r="E26" s="3">
        <f t="shared" ref="E26:H26" ca="1" si="5">IF(E55&lt;E32,0,E55-E32)</f>
        <v>6075374.3700615764</v>
      </c>
      <c r="F26" s="3">
        <f ca="1">IF(F55&lt;F32,0,F32-F55)</f>
        <v>0</v>
      </c>
      <c r="G26" s="3">
        <f t="shared" ca="1" si="5"/>
        <v>0</v>
      </c>
      <c r="H26" s="3">
        <f t="shared" ca="1" si="5"/>
        <v>0</v>
      </c>
      <c r="J26" s="3" t="str">
        <f>'P&amp;L'!S43</f>
        <v>Disappointing Customers</v>
      </c>
      <c r="K26" s="3">
        <f>'P&amp;L'!T43</f>
        <v>8747151.5040000007</v>
      </c>
      <c r="L26" s="3">
        <f>'P&amp;L'!U43</f>
        <v>8747151.5040000007</v>
      </c>
      <c r="M26" s="3">
        <f>'P&amp;L'!V43</f>
        <v>8747151.5040000007</v>
      </c>
      <c r="N26" s="3">
        <f>'P&amp;L'!W43</f>
        <v>8747151.5040000007</v>
      </c>
      <c r="O26" s="3">
        <f>'P&amp;L'!X43</f>
        <v>8747151.5040000007</v>
      </c>
    </row>
    <row r="27" spans="2:15">
      <c r="B27" s="29"/>
      <c r="C27" s="35"/>
      <c r="E27" s="3" t="s">
        <v>549</v>
      </c>
      <c r="J27" s="3" t="str">
        <f>'P&amp;L'!S44</f>
        <v>Disappointing Employees</v>
      </c>
      <c r="K27" s="3">
        <f>'P&amp;L'!T44</f>
        <v>4373575.7520000003</v>
      </c>
      <c r="L27" s="3">
        <f>'P&amp;L'!U44</f>
        <v>4373575.7520000003</v>
      </c>
      <c r="M27" s="3">
        <f>'P&amp;L'!V44</f>
        <v>4373575.7520000003</v>
      </c>
      <c r="N27" s="3">
        <f>'P&amp;L'!W44</f>
        <v>4373575.7520000003</v>
      </c>
      <c r="O27" s="3">
        <f>'P&amp;L'!X44</f>
        <v>4373575.7520000003</v>
      </c>
    </row>
    <row r="28" spans="2:15">
      <c r="B28" s="29"/>
      <c r="C28" s="35"/>
      <c r="J28" s="3" t="s">
        <v>545</v>
      </c>
      <c r="K28" s="3">
        <f>'P&amp;L'!T45</f>
        <v>17494303.008000001</v>
      </c>
      <c r="L28" s="3">
        <f>'P&amp;L'!U45</f>
        <v>17494303.008000001</v>
      </c>
      <c r="M28" s="3">
        <f>'P&amp;L'!V45</f>
        <v>17494303.008000001</v>
      </c>
      <c r="N28" s="3">
        <f>'P&amp;L'!W45</f>
        <v>17494303.008000001</v>
      </c>
      <c r="O28" s="3">
        <f>'P&amp;L'!X45</f>
        <v>17494303.008000001</v>
      </c>
    </row>
    <row r="29" spans="2:15">
      <c r="B29" s="31"/>
      <c r="C29" s="37"/>
    </row>
    <row r="30" spans="2:15">
      <c r="B30" s="29" t="s">
        <v>96</v>
      </c>
      <c r="C30" s="35"/>
    </row>
    <row r="31" spans="2:15">
      <c r="B31" s="31"/>
      <c r="C31" s="37"/>
    </row>
    <row r="32" spans="2:15">
      <c r="B32" s="29" t="s">
        <v>97</v>
      </c>
      <c r="C32" s="35"/>
      <c r="D32" s="3">
        <f ca="1">D10+D18+SUM(D22:D24)+D26</f>
        <v>334090846.20545125</v>
      </c>
      <c r="E32" s="3">
        <f t="shared" ref="E32:H32" ca="1" si="6">E10+E18+SUM(E22:E24)+E26</f>
        <v>366525174.39509052</v>
      </c>
      <c r="F32" s="3">
        <f t="shared" ca="1" si="6"/>
        <v>448734664.400029</v>
      </c>
      <c r="G32" s="3">
        <f t="shared" ca="1" si="6"/>
        <v>541036206.11512816</v>
      </c>
      <c r="H32" s="3">
        <f t="shared" ca="1" si="6"/>
        <v>637274513.72302055</v>
      </c>
    </row>
    <row r="33" spans="2:12">
      <c r="B33" s="31"/>
      <c r="C33" s="37"/>
    </row>
    <row r="34" spans="2:12">
      <c r="B34" s="28" t="s">
        <v>46</v>
      </c>
      <c r="C34" s="34"/>
    </row>
    <row r="35" spans="2:12">
      <c r="B35" s="27" t="s">
        <v>98</v>
      </c>
      <c r="C35" s="33"/>
    </row>
    <row r="36" spans="2:12">
      <c r="B36" s="28" t="s">
        <v>46</v>
      </c>
      <c r="C36" s="34"/>
      <c r="L36" s="2"/>
    </row>
    <row r="37" spans="2:12">
      <c r="B37" s="29" t="s">
        <v>99</v>
      </c>
      <c r="C37" s="35"/>
    </row>
    <row r="38" spans="2:12">
      <c r="B38" s="30" t="s">
        <v>100</v>
      </c>
      <c r="C38" s="36"/>
      <c r="D38" s="3">
        <f>K6*0.2</f>
        <v>81835932.01229246</v>
      </c>
      <c r="E38" s="3">
        <f>L6*0.2</f>
        <v>68717162.490900204</v>
      </c>
      <c r="F38" s="3">
        <f>M6*0.2</f>
        <v>67620651.252708286</v>
      </c>
      <c r="G38" s="3">
        <f>N6*0.2</f>
        <v>66545955.21455466</v>
      </c>
      <c r="H38" s="3">
        <f>O6*0.2</f>
        <v>65492639.645245411</v>
      </c>
    </row>
    <row r="39" spans="2:12">
      <c r="B39" s="30" t="s">
        <v>101</v>
      </c>
      <c r="C39" s="36"/>
      <c r="D39" s="3">
        <v>0</v>
      </c>
      <c r="E39" s="3">
        <v>0</v>
      </c>
      <c r="F39" s="3">
        <v>0</v>
      </c>
      <c r="G39" s="3">
        <v>0</v>
      </c>
      <c r="H39" s="3">
        <v>0</v>
      </c>
    </row>
    <row r="40" spans="2:12">
      <c r="B40" s="30" t="s">
        <v>59</v>
      </c>
      <c r="C40" s="36">
        <v>0.1</v>
      </c>
      <c r="D40" s="3">
        <f ca="1">System!Q57+(System!Q57*C40)</f>
        <v>226905604.7731092</v>
      </c>
      <c r="E40" s="3">
        <f ca="1">D40-'P&amp;L'!U38+'P&amp;L'!U70</f>
        <v>219001864.83596635</v>
      </c>
      <c r="F40" s="3">
        <f ca="1">E40-'P&amp;L'!V38+'P&amp;L'!V70</f>
        <v>211098124.8988235</v>
      </c>
      <c r="G40" s="3">
        <f ca="1">F40-'P&amp;L'!W38+'P&amp;L'!W70</f>
        <v>203194384.96168065</v>
      </c>
      <c r="H40" s="3">
        <f ca="1">G40-'P&amp;L'!X38+'P&amp;L'!X70</f>
        <v>195290645.0245378</v>
      </c>
      <c r="J40" s="3">
        <v>100</v>
      </c>
    </row>
    <row r="41" spans="2:12">
      <c r="B41" s="30" t="s">
        <v>60</v>
      </c>
      <c r="C41" s="32"/>
      <c r="D41" s="3">
        <v>0</v>
      </c>
      <c r="E41" s="3">
        <v>0</v>
      </c>
      <c r="F41" s="3">
        <v>0</v>
      </c>
      <c r="G41" s="3">
        <v>0</v>
      </c>
      <c r="H41" s="3">
        <v>0</v>
      </c>
    </row>
    <row r="42" spans="2:12">
      <c r="B42" s="30"/>
      <c r="C42" s="32"/>
      <c r="J42" s="3">
        <f>3%*J40</f>
        <v>3</v>
      </c>
    </row>
    <row r="43" spans="2:12">
      <c r="B43" s="29" t="s">
        <v>102</v>
      </c>
      <c r="C43" s="35"/>
      <c r="D43" s="3">
        <f ca="1">D41+D40+D39+D38</f>
        <v>308741536.78540164</v>
      </c>
      <c r="E43" s="3">
        <f t="shared" ref="E43:H43" ca="1" si="7">E41+E40+E39+E38</f>
        <v>287719027.32686657</v>
      </c>
      <c r="F43" s="3">
        <f t="shared" ca="1" si="7"/>
        <v>278718776.15153182</v>
      </c>
      <c r="G43" s="3">
        <f t="shared" ca="1" si="7"/>
        <v>269740340.17623532</v>
      </c>
      <c r="H43" s="3">
        <f t="shared" ca="1" si="7"/>
        <v>260783284.6697832</v>
      </c>
    </row>
    <row r="44" spans="2:12">
      <c r="B44" s="29"/>
      <c r="C44" s="35"/>
    </row>
    <row r="45" spans="2:12">
      <c r="B45" s="29" t="s">
        <v>548</v>
      </c>
      <c r="C45" s="35"/>
      <c r="D45" s="3">
        <f ca="1">IF(D55&lt;D32,D32-D55,0)</f>
        <v>0</v>
      </c>
      <c r="E45" s="3">
        <f t="shared" ref="E45:H45" ca="1" si="8">IF(E55&lt;E32,E32-E55,0)</f>
        <v>0</v>
      </c>
      <c r="F45" s="3">
        <f t="shared" ca="1" si="8"/>
        <v>0</v>
      </c>
      <c r="G45" s="3">
        <f t="shared" ca="1" si="8"/>
        <v>0</v>
      </c>
      <c r="H45" s="3">
        <f t="shared" ca="1" si="8"/>
        <v>0</v>
      </c>
      <c r="J45" s="3">
        <f>SUM(J40:J42)</f>
        <v>103</v>
      </c>
    </row>
    <row r="46" spans="2:12">
      <c r="B46" s="28" t="s">
        <v>46</v>
      </c>
      <c r="C46" s="34"/>
    </row>
    <row r="47" spans="2:12">
      <c r="B47" s="29" t="s">
        <v>103</v>
      </c>
      <c r="C47" s="35"/>
    </row>
    <row r="48" spans="2:12">
      <c r="B48" s="30" t="s">
        <v>104</v>
      </c>
      <c r="C48" s="36"/>
      <c r="D48" s="3">
        <v>0</v>
      </c>
      <c r="E48" s="3">
        <v>0</v>
      </c>
      <c r="F48" s="3">
        <v>0</v>
      </c>
      <c r="G48" s="3">
        <v>0</v>
      </c>
      <c r="H48" s="3">
        <v>0</v>
      </c>
    </row>
    <row r="49" spans="2:15">
      <c r="B49" s="30" t="s">
        <v>105</v>
      </c>
      <c r="C49" s="196">
        <f>$C$61*C60</f>
        <v>6000000</v>
      </c>
      <c r="D49" s="3">
        <f>C49</f>
        <v>6000000</v>
      </c>
      <c r="E49" s="3">
        <f t="shared" ref="E49:H49" si="9">D49</f>
        <v>6000000</v>
      </c>
      <c r="F49" s="3">
        <f t="shared" si="9"/>
        <v>6000000</v>
      </c>
      <c r="G49" s="3">
        <f t="shared" si="9"/>
        <v>6000000</v>
      </c>
      <c r="H49" s="3">
        <f t="shared" si="9"/>
        <v>6000000</v>
      </c>
    </row>
    <row r="50" spans="2:15">
      <c r="B50" s="30" t="s">
        <v>106</v>
      </c>
      <c r="C50" s="36"/>
      <c r="D50" s="3">
        <v>0</v>
      </c>
      <c r="E50" s="3">
        <f>D51</f>
        <v>19349309.420049578</v>
      </c>
      <c r="F50" s="3">
        <f>E50+E51</f>
        <v>72806147.068223953</v>
      </c>
      <c r="G50" s="3">
        <f t="shared" ref="G50:H50" si="10">F50+F51</f>
        <v>129826646.2405221</v>
      </c>
      <c r="H50" s="3">
        <f t="shared" si="10"/>
        <v>190339908.18681952</v>
      </c>
    </row>
    <row r="51" spans="2:15">
      <c r="B51" s="30" t="s">
        <v>107</v>
      </c>
      <c r="C51" s="36"/>
      <c r="D51" s="3">
        <f>K19</f>
        <v>19349309.420049578</v>
      </c>
      <c r="E51" s="3">
        <f>L19</f>
        <v>53456837.648174383</v>
      </c>
      <c r="F51" s="3">
        <f>M19</f>
        <v>57020499.172298148</v>
      </c>
      <c r="G51" s="3">
        <f>N19</f>
        <v>60513261.946297422</v>
      </c>
      <c r="H51" s="3">
        <f>O19</f>
        <v>63936536.896552473</v>
      </c>
    </row>
    <row r="52" spans="2:15">
      <c r="B52" s="31"/>
      <c r="C52" s="37"/>
    </row>
    <row r="53" spans="2:15">
      <c r="B53" s="29" t="s">
        <v>108</v>
      </c>
      <c r="C53" s="35"/>
      <c r="D53" s="3">
        <f>SUM(D48:D51)</f>
        <v>25349309.420049578</v>
      </c>
      <c r="E53" s="3">
        <f t="shared" ref="E53:H53" si="11">SUM(E48:E51)</f>
        <v>78806147.068223953</v>
      </c>
      <c r="F53" s="3">
        <f t="shared" si="11"/>
        <v>135826646.24052209</v>
      </c>
      <c r="G53" s="3">
        <f t="shared" si="11"/>
        <v>196339908.18681949</v>
      </c>
      <c r="H53" s="3">
        <f t="shared" si="11"/>
        <v>260276445.083372</v>
      </c>
    </row>
    <row r="54" spans="2:15">
      <c r="B54" s="31"/>
      <c r="C54" s="37"/>
    </row>
    <row r="55" spans="2:15">
      <c r="B55" s="29" t="s">
        <v>109</v>
      </c>
      <c r="C55" s="35"/>
      <c r="D55" s="3">
        <f ca="1">D53+D43+D45</f>
        <v>334090846.20545125</v>
      </c>
      <c r="E55" s="3">
        <f t="shared" ref="E55:H55" ca="1" si="12">E53+E43+E45</f>
        <v>366525174.39509052</v>
      </c>
      <c r="F55" s="3">
        <f t="shared" ca="1" si="12"/>
        <v>414545422.3920539</v>
      </c>
      <c r="G55" s="3">
        <f t="shared" ca="1" si="12"/>
        <v>466080248.36305481</v>
      </c>
      <c r="H55" s="3">
        <f t="shared" ca="1" si="12"/>
        <v>521059729.75315523</v>
      </c>
    </row>
    <row r="56" spans="2:15">
      <c r="E56" s="3" t="s">
        <v>549</v>
      </c>
    </row>
    <row r="59" spans="2:15">
      <c r="B59" t="s">
        <v>58</v>
      </c>
      <c r="C59" s="194">
        <v>60</v>
      </c>
    </row>
    <row r="60" spans="2:15">
      <c r="B60" t="s">
        <v>486</v>
      </c>
      <c r="C60" s="194">
        <v>6000000</v>
      </c>
    </row>
    <row r="61" spans="2:15">
      <c r="B61" t="s">
        <v>487</v>
      </c>
      <c r="C61" s="207">
        <f>CashFlow!D131</f>
        <v>1</v>
      </c>
    </row>
    <row r="62" spans="2:15">
      <c r="K62"/>
      <c r="L62"/>
      <c r="M62"/>
      <c r="N62"/>
      <c r="O62"/>
    </row>
    <row r="63" spans="2:15">
      <c r="D63"/>
      <c r="I63" s="3"/>
    </row>
  </sheetData>
  <phoneticPr fontId="3"/>
  <pageMargins left="0.75" right="0.75" top="1" bottom="1" header="0.5" footer="0.5"/>
  <pageSetup scale="76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9"/>
  <sheetViews>
    <sheetView topLeftCell="A5" workbookViewId="0">
      <selection activeCell="E39" sqref="E39"/>
    </sheetView>
  </sheetViews>
  <sheetFormatPr baseColWidth="10" defaultRowHeight="13" x14ac:dyDescent="0"/>
  <cols>
    <col min="4" max="4" width="13.42578125" style="1" customWidth="1"/>
    <col min="5" max="6" width="13.42578125" customWidth="1"/>
    <col min="7" max="7" width="15.28515625" customWidth="1"/>
    <col min="8" max="8" width="6.5703125" customWidth="1"/>
    <col min="9" max="9" width="8.140625" style="254" customWidth="1"/>
    <col min="15" max="15" width="11.85546875" bestFit="1" customWidth="1"/>
    <col min="16" max="16" width="13.5703125" customWidth="1"/>
    <col min="17" max="17" width="14.42578125" customWidth="1"/>
  </cols>
  <sheetData>
    <row r="1" spans="1:31">
      <c r="K1" t="s">
        <v>490</v>
      </c>
    </row>
    <row r="2" spans="1:31" s="198" customFormat="1">
      <c r="D2" s="200"/>
      <c r="I2" s="255"/>
      <c r="L2" s="135" t="s">
        <v>485</v>
      </c>
      <c r="N2" s="198" t="s">
        <v>33</v>
      </c>
      <c r="O2" s="198" t="s">
        <v>487</v>
      </c>
    </row>
    <row r="3" spans="1:31">
      <c r="A3" t="str">
        <f>'JPods Summary'!B4</f>
        <v>Grand Junction</v>
      </c>
      <c r="C3" s="135" t="s">
        <v>456</v>
      </c>
      <c r="D3" s="251">
        <f>'JPods Summary'!F28</f>
        <v>24</v>
      </c>
      <c r="E3" s="135" t="s">
        <v>132</v>
      </c>
      <c r="F3" s="135">
        <f>D3/1.6</f>
        <v>15</v>
      </c>
      <c r="G3" s="135" t="s">
        <v>457</v>
      </c>
      <c r="H3" s="135"/>
      <c r="I3" s="256"/>
      <c r="N3">
        <v>1</v>
      </c>
      <c r="O3" s="228">
        <f>CashFlow!D131</f>
        <v>1</v>
      </c>
    </row>
    <row r="4" spans="1:31">
      <c r="D4" s="1">
        <v>30</v>
      </c>
      <c r="E4" t="s">
        <v>458</v>
      </c>
      <c r="F4" t="s">
        <v>459</v>
      </c>
    </row>
    <row r="5" spans="1:31">
      <c r="B5" t="s">
        <v>175</v>
      </c>
      <c r="D5" t="s">
        <v>176</v>
      </c>
      <c r="E5" s="39" t="s">
        <v>177</v>
      </c>
      <c r="L5" t="s">
        <v>175</v>
      </c>
      <c r="N5" s="39" t="s">
        <v>176</v>
      </c>
      <c r="O5" s="39" t="s">
        <v>177</v>
      </c>
    </row>
    <row r="6" spans="1:31">
      <c r="C6" t="s">
        <v>178</v>
      </c>
      <c r="D6">
        <f>N6*$O$3</f>
        <v>35400</v>
      </c>
      <c r="E6" s="5">
        <f>O6</f>
        <v>800</v>
      </c>
      <c r="F6" s="1">
        <f>D6*E6</f>
        <v>28320000</v>
      </c>
      <c r="M6" t="s">
        <v>178</v>
      </c>
      <c r="N6" s="249">
        <v>35400</v>
      </c>
      <c r="O6" s="199">
        <f>($D$3*1000)/$D$4</f>
        <v>800</v>
      </c>
      <c r="P6" s="6">
        <f>N6*O6</f>
        <v>28320000</v>
      </c>
      <c r="Z6" t="s">
        <v>179</v>
      </c>
      <c r="AA6">
        <v>9</v>
      </c>
      <c r="AB6">
        <v>9</v>
      </c>
      <c r="AD6">
        <v>12</v>
      </c>
    </row>
    <row r="7" spans="1:31">
      <c r="C7" t="s">
        <v>180</v>
      </c>
      <c r="D7">
        <f t="shared" ref="D7:D8" si="0">N7*$O$3</f>
        <v>41700</v>
      </c>
      <c r="E7" s="5">
        <f t="shared" ref="E7:E9" si="1">O7</f>
        <v>120</v>
      </c>
      <c r="F7" s="1">
        <f t="shared" ref="F7:F32" si="2">D7*E7</f>
        <v>5004000</v>
      </c>
      <c r="M7" t="s">
        <v>180</v>
      </c>
      <c r="N7" s="249">
        <v>41700</v>
      </c>
      <c r="O7" s="199">
        <f>O6*0.15</f>
        <v>120</v>
      </c>
      <c r="P7" s="6">
        <f t="shared" ref="P7:P9" si="3">N7*O7</f>
        <v>5004000</v>
      </c>
      <c r="Z7" t="s">
        <v>181</v>
      </c>
      <c r="AD7">
        <v>240</v>
      </c>
      <c r="AE7">
        <f>AD6*AD7</f>
        <v>2880</v>
      </c>
    </row>
    <row r="8" spans="1:31">
      <c r="C8" t="s">
        <v>182</v>
      </c>
      <c r="D8">
        <f t="shared" si="0"/>
        <v>9990</v>
      </c>
      <c r="E8" s="5">
        <f t="shared" si="1"/>
        <v>800</v>
      </c>
      <c r="F8" s="1">
        <f t="shared" si="2"/>
        <v>7992000</v>
      </c>
      <c r="M8" t="s">
        <v>182</v>
      </c>
      <c r="N8" s="249">
        <v>9990</v>
      </c>
      <c r="O8" s="199">
        <f>($D$3*1000)/$D$4</f>
        <v>800</v>
      </c>
      <c r="P8" s="6">
        <f t="shared" si="3"/>
        <v>7992000</v>
      </c>
      <c r="Z8" t="s">
        <v>183</v>
      </c>
      <c r="AD8" s="6">
        <v>7</v>
      </c>
    </row>
    <row r="9" spans="1:31">
      <c r="C9" t="s">
        <v>184</v>
      </c>
      <c r="D9">
        <f>$O$3*N9</f>
        <v>5471.5599999999995</v>
      </c>
      <c r="E9" s="5">
        <f t="shared" si="1"/>
        <v>800</v>
      </c>
      <c r="F9" s="1">
        <f t="shared" si="2"/>
        <v>4377248</v>
      </c>
      <c r="M9" t="s">
        <v>184</v>
      </c>
      <c r="N9" s="249">
        <f>Footings!H28</f>
        <v>5471.5599999999995</v>
      </c>
      <c r="O9" s="199">
        <f>O8</f>
        <v>800</v>
      </c>
      <c r="P9" s="6">
        <f t="shared" si="3"/>
        <v>4377248</v>
      </c>
    </row>
    <row r="10" spans="1:31">
      <c r="D10" s="201"/>
      <c r="F10" s="183"/>
      <c r="G10" s="1">
        <f>SUM(F6:F9)</f>
        <v>45693248</v>
      </c>
      <c r="H10" s="1"/>
      <c r="I10" s="257"/>
      <c r="P10" s="183"/>
      <c r="Q10" s="42">
        <f>SUM(P6:P9)</f>
        <v>45693248</v>
      </c>
    </row>
    <row r="11" spans="1:31">
      <c r="D11" s="201"/>
      <c r="F11" s="6"/>
      <c r="P11" s="6"/>
      <c r="Z11" t="s">
        <v>185</v>
      </c>
      <c r="AD11" s="6">
        <f>AD6*AD7*AD8</f>
        <v>20160</v>
      </c>
    </row>
    <row r="12" spans="1:31">
      <c r="F12" s="6"/>
      <c r="P12" s="6"/>
      <c r="Z12" t="s">
        <v>186</v>
      </c>
      <c r="AD12">
        <v>320</v>
      </c>
    </row>
    <row r="13" spans="1:31">
      <c r="B13" t="s">
        <v>334</v>
      </c>
      <c r="F13" s="6"/>
      <c r="L13" t="s">
        <v>334</v>
      </c>
      <c r="P13" s="6"/>
      <c r="Z13" t="s">
        <v>185</v>
      </c>
      <c r="AD13" s="6">
        <f>AD11*AD12</f>
        <v>6451200</v>
      </c>
    </row>
    <row r="14" spans="1:31">
      <c r="B14">
        <v>1</v>
      </c>
      <c r="C14" t="s">
        <v>455</v>
      </c>
      <c r="D14" s="1">
        <f>N14*$O$3</f>
        <v>12529</v>
      </c>
      <c r="E14">
        <f>O14</f>
        <v>800</v>
      </c>
      <c r="F14" s="1">
        <f t="shared" si="2"/>
        <v>10023200</v>
      </c>
      <c r="L14">
        <v>1</v>
      </c>
      <c r="M14" t="s">
        <v>455</v>
      </c>
      <c r="N14" s="249">
        <v>12529</v>
      </c>
      <c r="O14" s="199">
        <f>L14*$O$6</f>
        <v>800</v>
      </c>
      <c r="P14" s="6">
        <f t="shared" ref="P14:P16" si="4">N14*O14</f>
        <v>10023200</v>
      </c>
    </row>
    <row r="15" spans="1:31">
      <c r="B15">
        <v>2</v>
      </c>
      <c r="C15" t="s">
        <v>187</v>
      </c>
      <c r="D15" s="1">
        <f t="shared" ref="D15:D16" si="5">N15*$O$3</f>
        <v>1121</v>
      </c>
      <c r="E15">
        <f t="shared" ref="E15:E16" si="6">O15</f>
        <v>1600</v>
      </c>
      <c r="F15" s="1">
        <f t="shared" si="2"/>
        <v>1793600</v>
      </c>
      <c r="L15">
        <v>2</v>
      </c>
      <c r="M15" t="s">
        <v>187</v>
      </c>
      <c r="N15" s="249">
        <v>1121</v>
      </c>
      <c r="O15" s="199">
        <f>L15*O14</f>
        <v>1600</v>
      </c>
      <c r="P15" s="6">
        <f t="shared" si="4"/>
        <v>1793600</v>
      </c>
    </row>
    <row r="16" spans="1:31">
      <c r="B16">
        <v>0.05</v>
      </c>
      <c r="C16" t="s">
        <v>188</v>
      </c>
      <c r="D16" s="1">
        <f t="shared" si="5"/>
        <v>50000</v>
      </c>
      <c r="E16">
        <f t="shared" si="6"/>
        <v>40</v>
      </c>
      <c r="F16" s="1">
        <f t="shared" si="2"/>
        <v>2000000</v>
      </c>
      <c r="L16">
        <v>0.05</v>
      </c>
      <c r="M16" t="s">
        <v>188</v>
      </c>
      <c r="N16" s="249">
        <v>50000</v>
      </c>
      <c r="O16" s="199">
        <f>L16*O14</f>
        <v>40</v>
      </c>
      <c r="P16" s="6">
        <f t="shared" si="4"/>
        <v>2000000</v>
      </c>
    </row>
    <row r="17" spans="2:27">
      <c r="F17" s="6"/>
      <c r="G17" s="1">
        <f>SUM(F14:F16)</f>
        <v>13816800</v>
      </c>
      <c r="H17" s="1"/>
      <c r="I17" s="257"/>
      <c r="P17" s="6"/>
      <c r="Q17" s="6">
        <f>SUM(P14:P16)</f>
        <v>13816800</v>
      </c>
      <c r="Z17" t="s">
        <v>189</v>
      </c>
      <c r="AA17">
        <v>2</v>
      </c>
    </row>
    <row r="18" spans="2:27">
      <c r="F18" s="6"/>
      <c r="J18" s="253" t="s">
        <v>33</v>
      </c>
      <c r="P18" s="6"/>
    </row>
    <row r="19" spans="2:27">
      <c r="B19" t="s">
        <v>333</v>
      </c>
      <c r="F19" s="6"/>
      <c r="J19" s="252"/>
      <c r="L19" t="s">
        <v>333</v>
      </c>
      <c r="M19">
        <v>1.2</v>
      </c>
      <c r="N19" s="1" t="s">
        <v>525</v>
      </c>
      <c r="P19" s="6"/>
    </row>
    <row r="20" spans="2:27">
      <c r="B20">
        <v>1</v>
      </c>
      <c r="C20" t="s">
        <v>190</v>
      </c>
      <c r="D20" s="1">
        <f t="shared" ref="D20:D25" si="7">N20*$O$3</f>
        <v>330000</v>
      </c>
      <c r="E20">
        <f>O20</f>
        <v>28.799999999999997</v>
      </c>
      <c r="F20" s="1">
        <f t="shared" si="2"/>
        <v>9503999.9999999981</v>
      </c>
      <c r="J20" s="252"/>
      <c r="L20">
        <v>1</v>
      </c>
      <c r="M20" t="s">
        <v>190</v>
      </c>
      <c r="N20" s="249">
        <v>330000</v>
      </c>
      <c r="O20" s="199">
        <f>$D$3*$M$19*L20</f>
        <v>28.799999999999997</v>
      </c>
      <c r="P20" s="6">
        <f t="shared" ref="P20:P25" si="8">N20*O20</f>
        <v>9503999.9999999981</v>
      </c>
    </row>
    <row r="21" spans="2:27">
      <c r="B21">
        <v>1</v>
      </c>
      <c r="C21" t="s">
        <v>191</v>
      </c>
      <c r="D21" s="1">
        <f t="shared" si="7"/>
        <v>15000</v>
      </c>
      <c r="E21">
        <f t="shared" ref="E21:E25" si="9">O21</f>
        <v>28.799999999999997</v>
      </c>
      <c r="F21" s="1">
        <f t="shared" si="2"/>
        <v>431999.99999999994</v>
      </c>
      <c r="J21" s="252"/>
      <c r="L21">
        <v>1</v>
      </c>
      <c r="M21" t="s">
        <v>191</v>
      </c>
      <c r="N21" s="249">
        <v>15000</v>
      </c>
      <c r="O21" s="199">
        <f t="shared" ref="O21:O25" si="10">$D$3*$M$19*L21</f>
        <v>28.799999999999997</v>
      </c>
      <c r="P21" s="6">
        <f t="shared" si="8"/>
        <v>431999.99999999994</v>
      </c>
    </row>
    <row r="22" spans="2:27">
      <c r="B22">
        <v>4</v>
      </c>
      <c r="C22" t="s">
        <v>192</v>
      </c>
      <c r="D22" s="1">
        <f t="shared" si="7"/>
        <v>2000</v>
      </c>
      <c r="E22">
        <f t="shared" si="9"/>
        <v>115.19999999999999</v>
      </c>
      <c r="F22" s="1">
        <f t="shared" si="2"/>
        <v>230399.99999999997</v>
      </c>
      <c r="J22" s="252"/>
      <c r="L22">
        <v>4</v>
      </c>
      <c r="M22" t="s">
        <v>192</v>
      </c>
      <c r="N22" s="249">
        <v>2000</v>
      </c>
      <c r="O22" s="199">
        <f t="shared" si="10"/>
        <v>115.19999999999999</v>
      </c>
      <c r="P22" s="6">
        <f t="shared" si="8"/>
        <v>230399.99999999997</v>
      </c>
    </row>
    <row r="23" spans="2:27">
      <c r="B23">
        <v>0.5</v>
      </c>
      <c r="C23" t="s">
        <v>193</v>
      </c>
      <c r="D23" s="1">
        <f t="shared" si="7"/>
        <v>3000</v>
      </c>
      <c r="E23">
        <f t="shared" si="9"/>
        <v>14.399999999999999</v>
      </c>
      <c r="F23" s="1">
        <f t="shared" si="2"/>
        <v>43199.999999999993</v>
      </c>
      <c r="J23" s="252"/>
      <c r="L23">
        <v>0.5</v>
      </c>
      <c r="M23" t="s">
        <v>193</v>
      </c>
      <c r="N23" s="249">
        <v>3000</v>
      </c>
      <c r="O23" s="199">
        <f t="shared" si="10"/>
        <v>14.399999999999999</v>
      </c>
      <c r="P23" s="6">
        <f t="shared" si="8"/>
        <v>43199.999999999993</v>
      </c>
      <c r="Z23" t="s">
        <v>194</v>
      </c>
      <c r="AA23">
        <v>1</v>
      </c>
    </row>
    <row r="24" spans="2:27">
      <c r="B24">
        <v>2</v>
      </c>
      <c r="C24" t="s">
        <v>195</v>
      </c>
      <c r="D24" s="1">
        <f t="shared" si="7"/>
        <v>14000</v>
      </c>
      <c r="E24">
        <f t="shared" si="9"/>
        <v>57.599999999999994</v>
      </c>
      <c r="F24" s="1">
        <f t="shared" si="2"/>
        <v>806399.99999999988</v>
      </c>
      <c r="L24">
        <v>2</v>
      </c>
      <c r="M24" t="s">
        <v>195</v>
      </c>
      <c r="N24" s="249">
        <v>14000</v>
      </c>
      <c r="O24" s="199">
        <f t="shared" si="10"/>
        <v>57.599999999999994</v>
      </c>
      <c r="P24" s="6">
        <f t="shared" si="8"/>
        <v>806399.99999999988</v>
      </c>
      <c r="Z24" t="s">
        <v>50</v>
      </c>
      <c r="AA24">
        <v>1</v>
      </c>
    </row>
    <row r="25" spans="2:27">
      <c r="B25">
        <v>2</v>
      </c>
      <c r="C25" t="s">
        <v>196</v>
      </c>
      <c r="D25" s="1">
        <f t="shared" si="7"/>
        <v>60000</v>
      </c>
      <c r="E25">
        <f t="shared" si="9"/>
        <v>57.599999999999994</v>
      </c>
      <c r="F25" s="1">
        <f t="shared" si="2"/>
        <v>3455999.9999999995</v>
      </c>
      <c r="L25">
        <v>2</v>
      </c>
      <c r="M25" t="s">
        <v>196</v>
      </c>
      <c r="N25" s="249">
        <v>60000</v>
      </c>
      <c r="O25" s="199">
        <f t="shared" si="10"/>
        <v>57.599999999999994</v>
      </c>
      <c r="P25" s="6">
        <f t="shared" si="8"/>
        <v>3455999.9999999995</v>
      </c>
    </row>
    <row r="26" spans="2:27">
      <c r="F26" s="6"/>
      <c r="G26" s="1">
        <f>SUM(F20:F25)</f>
        <v>14471999.999999998</v>
      </c>
      <c r="H26" s="1"/>
      <c r="I26" s="257"/>
      <c r="P26" s="6"/>
      <c r="Q26" s="6">
        <f>SUM(P20:P25)</f>
        <v>14471999.999999998</v>
      </c>
    </row>
    <row r="27" spans="2:27">
      <c r="F27" s="6"/>
      <c r="G27" s="6"/>
      <c r="H27" s="6"/>
      <c r="I27" s="258"/>
      <c r="P27" s="6"/>
      <c r="Q27" s="6"/>
    </row>
    <row r="28" spans="2:27">
      <c r="F28" s="6"/>
      <c r="G28" s="6"/>
      <c r="H28" s="6"/>
      <c r="I28" s="258"/>
      <c r="P28" s="6"/>
      <c r="Q28" s="6"/>
    </row>
    <row r="29" spans="2:27">
      <c r="F29" s="6"/>
      <c r="P29" s="6"/>
    </row>
    <row r="30" spans="2:27">
      <c r="B30" t="s">
        <v>197</v>
      </c>
      <c r="F30" s="6"/>
      <c r="L30" t="s">
        <v>197</v>
      </c>
      <c r="P30" s="6"/>
    </row>
    <row r="31" spans="2:27">
      <c r="B31" t="s">
        <v>527</v>
      </c>
      <c r="C31" t="s">
        <v>198</v>
      </c>
      <c r="D31" s="1">
        <f t="shared" ref="D31:D34" si="11">N31*$O$3</f>
        <v>1000</v>
      </c>
      <c r="E31">
        <f>O31</f>
        <v>5088.0000000000009</v>
      </c>
      <c r="F31" s="1">
        <f t="shared" si="2"/>
        <v>5088000.0000000009</v>
      </c>
      <c r="L31" t="s">
        <v>527</v>
      </c>
      <c r="M31" t="s">
        <v>198</v>
      </c>
      <c r="N31" s="249">
        <v>1000</v>
      </c>
      <c r="O31" s="199">
        <f>(O14*2)+(O15*2)+(O20*5)+(O23*2)+O24+O25</f>
        <v>5088.0000000000009</v>
      </c>
      <c r="P31" s="6">
        <f t="shared" ref="P31:P32" si="12">N31*O31</f>
        <v>5088000.0000000009</v>
      </c>
    </row>
    <row r="32" spans="2:27">
      <c r="B32">
        <v>8</v>
      </c>
      <c r="C32" t="s">
        <v>462</v>
      </c>
      <c r="D32" s="1">
        <f t="shared" si="11"/>
        <v>80</v>
      </c>
      <c r="E32">
        <f t="shared" ref="E32:E34" si="13">O32</f>
        <v>40704.000000000007</v>
      </c>
      <c r="F32" s="1">
        <f t="shared" si="2"/>
        <v>3256320.0000000005</v>
      </c>
      <c r="L32">
        <v>8</v>
      </c>
      <c r="M32" t="s">
        <v>462</v>
      </c>
      <c r="N32" s="249">
        <v>80</v>
      </c>
      <c r="O32" s="199">
        <f>O31*L32</f>
        <v>40704.000000000007</v>
      </c>
      <c r="P32" s="6">
        <f t="shared" si="12"/>
        <v>3256320.0000000005</v>
      </c>
    </row>
    <row r="33" spans="2:17">
      <c r="B33">
        <v>2</v>
      </c>
      <c r="C33" t="s">
        <v>144</v>
      </c>
      <c r="D33" s="1">
        <f t="shared" si="11"/>
        <v>120</v>
      </c>
      <c r="E33">
        <f t="shared" si="13"/>
        <v>10176.000000000002</v>
      </c>
      <c r="F33" s="1">
        <f>E33*D33</f>
        <v>1221120.0000000002</v>
      </c>
      <c r="L33">
        <v>2</v>
      </c>
      <c r="M33" t="s">
        <v>144</v>
      </c>
      <c r="N33" s="249">
        <v>120</v>
      </c>
      <c r="O33" s="246">
        <f>O31*L33</f>
        <v>10176.000000000002</v>
      </c>
      <c r="P33" s="6">
        <f>O33*N33</f>
        <v>1221120.0000000002</v>
      </c>
    </row>
    <row r="34" spans="2:17">
      <c r="B34">
        <v>1</v>
      </c>
      <c r="C34" t="s">
        <v>460</v>
      </c>
      <c r="D34" s="1">
        <f t="shared" si="11"/>
        <v>2000</v>
      </c>
      <c r="E34">
        <f t="shared" si="13"/>
        <v>5088.0000000000009</v>
      </c>
      <c r="F34" s="1">
        <f>D34*E34</f>
        <v>10176000.000000002</v>
      </c>
      <c r="L34">
        <v>1</v>
      </c>
      <c r="M34" t="s">
        <v>460</v>
      </c>
      <c r="N34" s="249">
        <v>2000</v>
      </c>
      <c r="O34" s="199">
        <f>O31</f>
        <v>5088.0000000000009</v>
      </c>
      <c r="P34" s="6">
        <f>N34*O34</f>
        <v>10176000.000000002</v>
      </c>
    </row>
    <row r="35" spans="2:17">
      <c r="G35" s="1">
        <f>SUM(F31:F34)</f>
        <v>19741440.000000004</v>
      </c>
      <c r="H35" s="1"/>
      <c r="I35" s="257"/>
      <c r="Q35" s="6">
        <f>SUM(P31:P34)</f>
        <v>19741440.000000004</v>
      </c>
    </row>
    <row r="38" spans="2:17">
      <c r="B38" t="s">
        <v>199</v>
      </c>
      <c r="L38" t="s">
        <v>199</v>
      </c>
    </row>
    <row r="39" spans="2:17">
      <c r="C39" t="s">
        <v>200</v>
      </c>
      <c r="D39" s="1">
        <f t="shared" ref="D39" si="14">N39*$O$3</f>
        <v>4</v>
      </c>
      <c r="E39" s="248">
        <f>O39</f>
        <v>2240000</v>
      </c>
      <c r="F39" s="1">
        <f>D3*E39</f>
        <v>53760000</v>
      </c>
      <c r="K39" t="s">
        <v>526</v>
      </c>
      <c r="L39">
        <v>4</v>
      </c>
      <c r="M39" t="s">
        <v>200</v>
      </c>
      <c r="N39" s="249">
        <v>4</v>
      </c>
      <c r="O39" s="247">
        <f>N39*L39*1000*140</f>
        <v>2240000</v>
      </c>
      <c r="P39" s="6">
        <f>D3*O39</f>
        <v>53760000</v>
      </c>
    </row>
    <row r="40" spans="2:17">
      <c r="C40" t="s">
        <v>62</v>
      </c>
      <c r="D40" s="1">
        <f>PowrRail!J24*O3</f>
        <v>202661.14285714284</v>
      </c>
      <c r="E40">
        <f>O40</f>
        <v>1</v>
      </c>
      <c r="F40" s="1">
        <f>E40*D40</f>
        <v>202661.14285714284</v>
      </c>
      <c r="M40" t="s">
        <v>62</v>
      </c>
      <c r="N40" s="250">
        <f>PowrRail!J24</f>
        <v>202661.14285714284</v>
      </c>
      <c r="O40" s="199">
        <v>1</v>
      </c>
      <c r="P40" s="134">
        <f>N40*O40</f>
        <v>202661.14285714284</v>
      </c>
    </row>
    <row r="41" spans="2:17">
      <c r="F41" s="1"/>
      <c r="G41" s="1">
        <f>SUM(F39:F40)</f>
        <v>53962661.142857142</v>
      </c>
      <c r="H41" s="1"/>
      <c r="I41" s="257"/>
      <c r="Q41" s="6">
        <f>SUM(P39:P40)</f>
        <v>53962661.142857142</v>
      </c>
    </row>
    <row r="42" spans="2:17">
      <c r="D42" s="201"/>
    </row>
    <row r="43" spans="2:17">
      <c r="B43" t="s">
        <v>232</v>
      </c>
      <c r="L43" t="s">
        <v>232</v>
      </c>
    </row>
    <row r="44" spans="2:17">
      <c r="C44" t="s">
        <v>63</v>
      </c>
      <c r="D44" s="1">
        <f t="shared" ref="D44:D47" si="15">N44*$O$3</f>
        <v>400000</v>
      </c>
      <c r="E44">
        <v>1</v>
      </c>
      <c r="F44" s="1">
        <f>E44*D44</f>
        <v>400000</v>
      </c>
      <c r="M44" t="s">
        <v>63</v>
      </c>
      <c r="N44" s="249">
        <v>400000</v>
      </c>
      <c r="O44" s="199">
        <v>1</v>
      </c>
      <c r="P44" s="6">
        <f>O44*N44</f>
        <v>400000</v>
      </c>
    </row>
    <row r="45" spans="2:17">
      <c r="C45" t="s">
        <v>64</v>
      </c>
      <c r="D45" s="1">
        <f t="shared" si="15"/>
        <v>400000</v>
      </c>
      <c r="E45">
        <v>1</v>
      </c>
      <c r="F45" s="1">
        <f>E45*D45</f>
        <v>400000</v>
      </c>
      <c r="M45" t="s">
        <v>64</v>
      </c>
      <c r="N45" s="249">
        <v>400000</v>
      </c>
      <c r="O45" s="199">
        <v>1</v>
      </c>
      <c r="P45" s="6">
        <f>O45*N45</f>
        <v>400000</v>
      </c>
    </row>
    <row r="46" spans="2:17">
      <c r="C46" t="s">
        <v>65</v>
      </c>
      <c r="D46" s="1">
        <f t="shared" si="15"/>
        <v>200000</v>
      </c>
      <c r="E46">
        <v>1</v>
      </c>
      <c r="F46" s="1">
        <f>E46*D46</f>
        <v>200000</v>
      </c>
      <c r="M46" t="s">
        <v>65</v>
      </c>
      <c r="N46" s="249">
        <v>200000</v>
      </c>
      <c r="O46" s="199">
        <v>1</v>
      </c>
      <c r="P46" s="6">
        <f>O46*N46</f>
        <v>200000</v>
      </c>
    </row>
    <row r="47" spans="2:17">
      <c r="C47" t="s">
        <v>66</v>
      </c>
      <c r="D47" s="1">
        <f t="shared" si="15"/>
        <v>250000</v>
      </c>
      <c r="E47">
        <v>1</v>
      </c>
      <c r="F47" s="1">
        <f>E47*D47</f>
        <v>250000</v>
      </c>
      <c r="M47" t="s">
        <v>66</v>
      </c>
      <c r="N47" s="249">
        <v>250000</v>
      </c>
      <c r="O47" s="199">
        <v>1</v>
      </c>
      <c r="P47" s="6">
        <f>O47*N47</f>
        <v>250000</v>
      </c>
    </row>
    <row r="48" spans="2:17">
      <c r="C48" t="s">
        <v>528</v>
      </c>
      <c r="H48" s="1"/>
      <c r="I48" s="257"/>
      <c r="M48" t="s">
        <v>528</v>
      </c>
      <c r="N48" s="249">
        <v>100000</v>
      </c>
      <c r="O48" s="199">
        <f>D3</f>
        <v>24</v>
      </c>
      <c r="P48" s="6">
        <f>O48*N48</f>
        <v>2400000</v>
      </c>
    </row>
    <row r="49" spans="2:17">
      <c r="C49" s="40"/>
      <c r="F49" s="183"/>
      <c r="G49" s="1">
        <f>SUM(F44:F47)</f>
        <v>1250000</v>
      </c>
      <c r="H49" s="201"/>
      <c r="I49" s="259"/>
      <c r="M49" s="40"/>
      <c r="P49" s="183"/>
      <c r="Q49" s="6">
        <f>SUM(P44:P48)</f>
        <v>3650000</v>
      </c>
    </row>
    <row r="50" spans="2:17">
      <c r="G50" s="1"/>
    </row>
    <row r="51" spans="2:17">
      <c r="B51" t="s">
        <v>524</v>
      </c>
      <c r="D51" s="1">
        <f>$O$3*N51</f>
        <v>1000000</v>
      </c>
      <c r="E51" s="26">
        <f>$D$3</f>
        <v>24</v>
      </c>
      <c r="G51" s="1">
        <f>D51*E51</f>
        <v>24000000</v>
      </c>
      <c r="H51" s="40"/>
      <c r="I51" s="260"/>
      <c r="L51" t="s">
        <v>524</v>
      </c>
      <c r="N51" s="1">
        <v>1000000</v>
      </c>
      <c r="O51" s="26">
        <f>$D$3</f>
        <v>24</v>
      </c>
      <c r="Q51" s="6">
        <f>O51*N51</f>
        <v>24000000</v>
      </c>
    </row>
    <row r="52" spans="2:17">
      <c r="G52" s="1"/>
      <c r="Q52" s="6"/>
    </row>
    <row r="53" spans="2:17">
      <c r="B53" t="s">
        <v>530</v>
      </c>
      <c r="E53" s="2">
        <v>0.15</v>
      </c>
      <c r="G53" s="1">
        <f ca="1">O3*Q53</f>
        <v>30941673.378151253</v>
      </c>
      <c r="L53" t="s">
        <v>530</v>
      </c>
      <c r="O53" s="2">
        <v>0.15</v>
      </c>
      <c r="Q53" s="41">
        <f ca="1">O53*Q57</f>
        <v>30941673.378151253</v>
      </c>
    </row>
    <row r="54" spans="2:17">
      <c r="G54" s="1"/>
      <c r="Q54" s="6"/>
    </row>
    <row r="55" spans="2:17">
      <c r="G55" s="1"/>
      <c r="Q55" s="6"/>
    </row>
    <row r="56" spans="2:17">
      <c r="G56" s="1">
        <f ca="1">G10+G17+G26+G35+G41+G49+G51+G53</f>
        <v>203877822.52100837</v>
      </c>
      <c r="Q56" s="6"/>
    </row>
    <row r="57" spans="2:17">
      <c r="G57" s="1"/>
      <c r="Q57" s="6">
        <f ca="1">Q10+Q17+Q26+Q35+Q41+Q49+Q51+Q53</f>
        <v>206277822.52100837</v>
      </c>
    </row>
    <row r="58" spans="2:17">
      <c r="Q58" s="6"/>
    </row>
    <row r="59" spans="2:17">
      <c r="Q59" s="6"/>
    </row>
  </sheetData>
  <mergeCells count="1">
    <mergeCell ref="J18:J23"/>
  </mergeCells>
  <phoneticPr fontId="3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1"/>
  <sheetViews>
    <sheetView workbookViewId="0">
      <selection activeCell="C7" sqref="C7"/>
    </sheetView>
  </sheetViews>
  <sheetFormatPr baseColWidth="10" defaultRowHeight="13" x14ac:dyDescent="0"/>
  <sheetData>
    <row r="2" spans="1:8">
      <c r="A2" t="s">
        <v>137</v>
      </c>
    </row>
    <row r="4" spans="1:8">
      <c r="B4" t="s">
        <v>138</v>
      </c>
      <c r="G4" s="42">
        <v>9990</v>
      </c>
      <c r="H4" t="s">
        <v>139</v>
      </c>
    </row>
    <row r="5" spans="1:8">
      <c r="B5" t="s">
        <v>140</v>
      </c>
    </row>
    <row r="6" spans="1:8">
      <c r="B6" t="s">
        <v>389</v>
      </c>
      <c r="G6" s="42">
        <v>35400</v>
      </c>
      <c r="H6" t="s">
        <v>139</v>
      </c>
    </row>
    <row r="7" spans="1:8">
      <c r="B7" t="s">
        <v>140</v>
      </c>
    </row>
    <row r="8" spans="1:8">
      <c r="B8" t="s">
        <v>390</v>
      </c>
      <c r="G8" s="42">
        <v>41700</v>
      </c>
      <c r="H8" t="s">
        <v>139</v>
      </c>
    </row>
    <row r="9" spans="1:8">
      <c r="B9" t="s">
        <v>140</v>
      </c>
    </row>
    <row r="10" spans="1:8">
      <c r="B10" t="s">
        <v>391</v>
      </c>
    </row>
    <row r="11" spans="1:8">
      <c r="B11" t="s">
        <v>267</v>
      </c>
    </row>
    <row r="12" spans="1:8">
      <c r="B12" t="s">
        <v>140</v>
      </c>
    </row>
    <row r="13" spans="1:8">
      <c r="B13" t="s">
        <v>429</v>
      </c>
    </row>
    <row r="14" spans="1:8">
      <c r="B14" t="s">
        <v>140</v>
      </c>
    </row>
    <row r="15" spans="1:8">
      <c r="B15" t="s">
        <v>430</v>
      </c>
    </row>
    <row r="16" spans="1:8">
      <c r="B16" t="s">
        <v>140</v>
      </c>
    </row>
    <row r="17" spans="2:2">
      <c r="B17" t="s">
        <v>431</v>
      </c>
    </row>
    <row r="18" spans="2:2">
      <c r="B18" t="s">
        <v>140</v>
      </c>
    </row>
    <row r="19" spans="2:2">
      <c r="B19" t="s">
        <v>432</v>
      </c>
    </row>
    <row r="20" spans="2:2">
      <c r="B20" t="s">
        <v>140</v>
      </c>
    </row>
    <row r="21" spans="2:2">
      <c r="B21" t="s">
        <v>433</v>
      </c>
    </row>
    <row r="22" spans="2:2">
      <c r="B22" t="s">
        <v>140</v>
      </c>
    </row>
    <row r="23" spans="2:2">
      <c r="B23" t="s">
        <v>140</v>
      </c>
    </row>
    <row r="24" spans="2:2">
      <c r="B24" t="s">
        <v>434</v>
      </c>
    </row>
    <row r="25" spans="2:2">
      <c r="B25" t="s">
        <v>435</v>
      </c>
    </row>
    <row r="26" spans="2:2">
      <c r="B26" t="s">
        <v>436</v>
      </c>
    </row>
    <row r="27" spans="2:2">
      <c r="B27" t="s">
        <v>437</v>
      </c>
    </row>
    <row r="28" spans="2:2">
      <c r="B28" t="s">
        <v>438</v>
      </c>
    </row>
    <row r="30" spans="2:2">
      <c r="B30" t="s">
        <v>439</v>
      </c>
    </row>
    <row r="31" spans="2:2">
      <c r="B31" t="s">
        <v>135</v>
      </c>
    </row>
  </sheetData>
  <phoneticPr fontId="3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"/>
  <sheetViews>
    <sheetView topLeftCell="A4" workbookViewId="0">
      <selection activeCell="L52" sqref="L52"/>
    </sheetView>
  </sheetViews>
  <sheetFormatPr baseColWidth="10" defaultRowHeight="13" x14ac:dyDescent="0"/>
  <cols>
    <col min="9" max="9" width="9.42578125" customWidth="1"/>
    <col min="10" max="10" width="10.42578125" customWidth="1"/>
  </cols>
  <sheetData>
    <row r="1" spans="1:10">
      <c r="A1" s="43" t="s">
        <v>305</v>
      </c>
      <c r="C1" t="s">
        <v>302</v>
      </c>
    </row>
    <row r="2" spans="1:10">
      <c r="A2" t="s">
        <v>303</v>
      </c>
      <c r="E2" s="23">
        <v>800</v>
      </c>
      <c r="F2" t="s">
        <v>304</v>
      </c>
    </row>
    <row r="3" spans="1:10">
      <c r="A3" t="s">
        <v>440</v>
      </c>
      <c r="C3">
        <v>400</v>
      </c>
      <c r="D3" t="s">
        <v>441</v>
      </c>
      <c r="E3" t="s">
        <v>442</v>
      </c>
      <c r="G3">
        <f>E2</f>
        <v>800</v>
      </c>
      <c r="H3" t="s">
        <v>443</v>
      </c>
    </row>
    <row r="4" spans="1:10">
      <c r="C4">
        <v>220</v>
      </c>
      <c r="D4" t="s">
        <v>124</v>
      </c>
      <c r="E4" t="s">
        <v>125</v>
      </c>
    </row>
    <row r="5" spans="1:10">
      <c r="A5" t="s">
        <v>126</v>
      </c>
    </row>
    <row r="6" spans="1:10">
      <c r="A6" s="23">
        <v>2</v>
      </c>
      <c r="B6" t="s">
        <v>127</v>
      </c>
      <c r="C6" s="23">
        <v>2</v>
      </c>
      <c r="D6" t="s">
        <v>128</v>
      </c>
      <c r="E6" s="23">
        <v>0.6</v>
      </c>
      <c r="F6" t="s">
        <v>129</v>
      </c>
      <c r="G6" s="23">
        <v>1000</v>
      </c>
      <c r="H6" t="s">
        <v>130</v>
      </c>
    </row>
    <row r="7" spans="1:10">
      <c r="D7" t="s">
        <v>131</v>
      </c>
      <c r="H7" t="s">
        <v>132</v>
      </c>
    </row>
    <row r="8" spans="1:10">
      <c r="A8" s="44" t="s">
        <v>169</v>
      </c>
      <c r="B8">
        <f>A6*C6*E6*G6</f>
        <v>2400</v>
      </c>
      <c r="C8" t="s">
        <v>130</v>
      </c>
      <c r="I8">
        <v>600</v>
      </c>
      <c r="J8">
        <v>1200</v>
      </c>
    </row>
    <row r="10" spans="1:10">
      <c r="A10" s="45" t="s">
        <v>268</v>
      </c>
      <c r="B10" s="45" t="s">
        <v>269</v>
      </c>
      <c r="C10" s="45" t="s">
        <v>270</v>
      </c>
      <c r="D10" s="45"/>
      <c r="E10" s="45" t="s">
        <v>271</v>
      </c>
      <c r="F10" s="45" t="s">
        <v>272</v>
      </c>
      <c r="G10" s="45"/>
      <c r="H10" s="45"/>
      <c r="I10" s="45"/>
    </row>
    <row r="11" spans="1:10">
      <c r="A11" s="46">
        <f>B8/F11</f>
        <v>342.85714285714283</v>
      </c>
      <c r="B11" t="s">
        <v>273</v>
      </c>
      <c r="C11" t="s">
        <v>274</v>
      </c>
      <c r="E11" s="47" t="s">
        <v>275</v>
      </c>
      <c r="F11">
        <v>7</v>
      </c>
      <c r="G11" t="s">
        <v>276</v>
      </c>
      <c r="I11" s="40">
        <v>354.1</v>
      </c>
      <c r="J11" s="40">
        <f t="shared" ref="J11:J16" si="0">I11*A11</f>
        <v>121405.71428571429</v>
      </c>
    </row>
    <row r="12" spans="1:10">
      <c r="A12" s="46">
        <f>A11/F12</f>
        <v>114.28571428571428</v>
      </c>
      <c r="B12" t="s">
        <v>277</v>
      </c>
      <c r="C12" t="s">
        <v>278</v>
      </c>
      <c r="E12" t="s">
        <v>279</v>
      </c>
      <c r="F12">
        <v>3</v>
      </c>
      <c r="G12" t="s">
        <v>280</v>
      </c>
      <c r="I12" s="40"/>
      <c r="J12" s="40">
        <f t="shared" si="0"/>
        <v>0</v>
      </c>
    </row>
    <row r="13" spans="1:10">
      <c r="A13" s="46">
        <f>A11-A12</f>
        <v>228.57142857142856</v>
      </c>
      <c r="B13" t="s">
        <v>281</v>
      </c>
      <c r="C13" t="s">
        <v>282</v>
      </c>
      <c r="E13" t="s">
        <v>283</v>
      </c>
      <c r="I13" s="40"/>
      <c r="J13" s="40">
        <f t="shared" si="0"/>
        <v>0</v>
      </c>
    </row>
    <row r="14" spans="1:10">
      <c r="A14" s="46">
        <f>A11/F14</f>
        <v>171.42857142857142</v>
      </c>
      <c r="B14" t="s">
        <v>284</v>
      </c>
      <c r="C14" t="s">
        <v>285</v>
      </c>
      <c r="E14" t="s">
        <v>286</v>
      </c>
      <c r="F14">
        <v>2</v>
      </c>
      <c r="G14" t="s">
        <v>287</v>
      </c>
      <c r="I14" s="40">
        <v>19.399999999999999</v>
      </c>
      <c r="J14" s="40">
        <f t="shared" si="0"/>
        <v>3325.7142857142853</v>
      </c>
    </row>
    <row r="15" spans="1:10">
      <c r="A15" s="46">
        <f>A14</f>
        <v>171.42857142857142</v>
      </c>
      <c r="B15" t="s">
        <v>288</v>
      </c>
      <c r="C15" t="s">
        <v>289</v>
      </c>
      <c r="E15" t="s">
        <v>290</v>
      </c>
      <c r="I15" s="40">
        <v>55.9</v>
      </c>
      <c r="J15" s="40">
        <f t="shared" si="0"/>
        <v>9582.8571428571413</v>
      </c>
    </row>
    <row r="16" spans="1:10">
      <c r="A16" s="46">
        <v>34</v>
      </c>
      <c r="B16" t="s">
        <v>291</v>
      </c>
      <c r="C16" t="s">
        <v>292</v>
      </c>
      <c r="E16" t="s">
        <v>293</v>
      </c>
      <c r="I16" s="40"/>
      <c r="J16" s="40">
        <f t="shared" si="0"/>
        <v>0</v>
      </c>
    </row>
    <row r="17" spans="1:12">
      <c r="I17" s="40"/>
      <c r="J17" s="40"/>
    </row>
    <row r="18" spans="1:12">
      <c r="I18" s="40"/>
      <c r="J18" s="40"/>
    </row>
    <row r="19" spans="1:12">
      <c r="A19">
        <v>50</v>
      </c>
      <c r="B19" t="s">
        <v>294</v>
      </c>
      <c r="C19" t="s">
        <v>295</v>
      </c>
      <c r="E19" t="s">
        <v>296</v>
      </c>
      <c r="F19" t="s">
        <v>297</v>
      </c>
      <c r="G19" t="s">
        <v>298</v>
      </c>
      <c r="I19" s="40">
        <v>691.4</v>
      </c>
      <c r="J19" s="40">
        <f>A19*I19</f>
        <v>34570</v>
      </c>
    </row>
    <row r="22" spans="1:12">
      <c r="J22" s="41">
        <f>SUM(J11:J21)</f>
        <v>168884.28571428571</v>
      </c>
    </row>
    <row r="23" spans="1:12">
      <c r="I23" s="7">
        <v>0.2</v>
      </c>
      <c r="K23" t="s">
        <v>299</v>
      </c>
    </row>
    <row r="24" spans="1:12">
      <c r="J24" s="40">
        <f>J22+(J22*I23)</f>
        <v>202661.14285714284</v>
      </c>
    </row>
    <row r="28" spans="1:12">
      <c r="A28" s="241" t="s">
        <v>300</v>
      </c>
      <c r="B28" s="241"/>
      <c r="C28" s="241"/>
      <c r="D28" s="241"/>
      <c r="E28" s="241"/>
      <c r="F28" s="241"/>
      <c r="G28" s="241"/>
      <c r="H28" s="241"/>
      <c r="I28" s="241"/>
      <c r="J28" s="241"/>
      <c r="K28" s="241"/>
      <c r="L28" s="241"/>
    </row>
    <row r="29" spans="1:12">
      <c r="A29" s="48"/>
      <c r="B29" s="49"/>
      <c r="C29" s="49"/>
      <c r="D29" s="49"/>
      <c r="E29" s="49"/>
      <c r="F29" s="50"/>
      <c r="G29" s="50"/>
      <c r="H29" s="51"/>
      <c r="I29" s="49"/>
      <c r="J29" s="49"/>
      <c r="K29" s="49"/>
      <c r="L29" s="49"/>
    </row>
    <row r="30" spans="1:12">
      <c r="A30" s="52" t="s">
        <v>301</v>
      </c>
      <c r="B30" s="53"/>
      <c r="C30" s="54"/>
      <c r="D30" s="55"/>
      <c r="E30" s="56"/>
      <c r="F30" s="56"/>
      <c r="G30" s="55"/>
      <c r="H30" s="57"/>
      <c r="I30" s="56"/>
      <c r="J30" s="55"/>
      <c r="K30" s="58"/>
      <c r="L30" s="59" t="s">
        <v>133</v>
      </c>
    </row>
    <row r="31" spans="1:12">
      <c r="A31" s="52" t="s">
        <v>134</v>
      </c>
      <c r="B31" s="53"/>
      <c r="C31" s="53"/>
      <c r="D31" s="55"/>
      <c r="E31" s="56"/>
      <c r="F31" s="56"/>
      <c r="G31" s="55"/>
      <c r="H31" s="57"/>
      <c r="I31" s="56"/>
      <c r="J31" s="55"/>
      <c r="K31" s="58"/>
      <c r="L31" s="58"/>
    </row>
    <row r="32" spans="1:12">
      <c r="A32" s="52" t="s">
        <v>168</v>
      </c>
      <c r="B32" s="53"/>
      <c r="C32" s="53"/>
      <c r="D32" s="55"/>
      <c r="E32" s="56"/>
      <c r="F32" s="56"/>
      <c r="G32" s="55"/>
      <c r="H32" s="57"/>
      <c r="I32" s="56"/>
      <c r="J32" s="55"/>
      <c r="K32" s="58"/>
      <c r="L32" s="58"/>
    </row>
    <row r="33" spans="1:12">
      <c r="A33" s="52"/>
      <c r="B33" s="53"/>
      <c r="C33" s="53"/>
      <c r="D33" s="55"/>
      <c r="E33" s="56"/>
      <c r="F33" s="56"/>
      <c r="G33" s="55"/>
      <c r="H33" s="57"/>
      <c r="I33" s="56"/>
      <c r="J33" s="55"/>
      <c r="K33" s="58"/>
      <c r="L33" s="58"/>
    </row>
    <row r="34" spans="1:12">
      <c r="A34" s="60" t="s">
        <v>306</v>
      </c>
      <c r="B34" s="53"/>
      <c r="C34" s="53"/>
      <c r="D34" s="55"/>
      <c r="E34" s="56"/>
      <c r="F34" s="56"/>
      <c r="G34" s="55"/>
      <c r="H34" s="57"/>
      <c r="I34" s="56"/>
      <c r="J34" s="55"/>
      <c r="K34" s="242" t="s">
        <v>307</v>
      </c>
      <c r="L34" s="242"/>
    </row>
    <row r="35" spans="1:12">
      <c r="A35" s="56"/>
      <c r="B35" s="55"/>
      <c r="C35" s="55"/>
      <c r="D35" s="55"/>
      <c r="E35" s="56"/>
      <c r="F35" s="56"/>
      <c r="G35" s="55"/>
      <c r="H35" s="57"/>
      <c r="I35" s="56"/>
      <c r="J35" s="55"/>
      <c r="K35" s="58"/>
      <c r="L35" s="58"/>
    </row>
    <row r="36" spans="1:12">
      <c r="A36" s="56" t="s">
        <v>308</v>
      </c>
      <c r="B36" s="55"/>
      <c r="C36" s="55"/>
      <c r="D36" s="55"/>
      <c r="E36" s="56"/>
      <c r="F36" s="56"/>
      <c r="G36" s="55"/>
      <c r="H36" s="57"/>
      <c r="I36" s="56"/>
      <c r="J36" s="55"/>
      <c r="K36" s="61"/>
      <c r="L36" s="62"/>
    </row>
    <row r="37" spans="1:12">
      <c r="A37" s="56"/>
      <c r="B37" s="55"/>
      <c r="C37" s="55"/>
      <c r="D37" s="55"/>
      <c r="E37" s="56"/>
      <c r="F37" s="56"/>
      <c r="G37" s="55"/>
      <c r="H37" s="57"/>
      <c r="I37" s="56"/>
      <c r="J37" s="55"/>
      <c r="K37" s="61"/>
      <c r="L37" s="62"/>
    </row>
    <row r="38" spans="1:12">
      <c r="A38" s="243" t="s">
        <v>444</v>
      </c>
      <c r="B38" s="243"/>
      <c r="C38" s="243"/>
      <c r="D38" s="243"/>
      <c r="E38" s="243"/>
      <c r="F38" s="243"/>
      <c r="G38" s="243"/>
      <c r="H38" s="243"/>
      <c r="I38" s="243"/>
      <c r="J38" s="243"/>
      <c r="K38" s="243"/>
      <c r="L38" s="243"/>
    </row>
    <row r="39" spans="1:12">
      <c r="A39" s="56"/>
      <c r="B39" s="55"/>
      <c r="C39" s="55"/>
      <c r="D39" s="55"/>
      <c r="E39" s="63"/>
      <c r="F39" s="64" t="s">
        <v>315</v>
      </c>
      <c r="G39" s="55"/>
      <c r="H39" s="59"/>
      <c r="I39" s="60"/>
      <c r="J39" s="55"/>
      <c r="K39" s="58"/>
      <c r="L39" s="58"/>
    </row>
    <row r="40" spans="1:12">
      <c r="A40" s="56"/>
      <c r="B40" s="55"/>
      <c r="C40" s="55"/>
      <c r="D40" s="55"/>
      <c r="E40" s="55"/>
      <c r="F40" s="57"/>
      <c r="G40" s="60"/>
      <c r="H40" s="59"/>
      <c r="I40" s="60"/>
      <c r="J40" s="55"/>
      <c r="K40" s="58"/>
      <c r="L40" s="58"/>
    </row>
    <row r="41" spans="1:12">
      <c r="A41" s="65" t="s">
        <v>316</v>
      </c>
      <c r="B41" s="65"/>
      <c r="C41" s="66" t="s">
        <v>268</v>
      </c>
      <c r="D41" s="67" t="s">
        <v>317</v>
      </c>
      <c r="E41" s="68"/>
      <c r="F41" s="66"/>
      <c r="G41" s="67"/>
      <c r="H41" s="69"/>
      <c r="I41" s="67"/>
      <c r="J41" s="65" t="s">
        <v>318</v>
      </c>
      <c r="K41" s="70" t="s">
        <v>319</v>
      </c>
      <c r="L41" s="71" t="s">
        <v>320</v>
      </c>
    </row>
    <row r="42" spans="1:12">
      <c r="A42" s="56"/>
      <c r="B42" s="55"/>
      <c r="C42" s="55"/>
      <c r="D42" s="55"/>
      <c r="E42" s="56"/>
      <c r="F42" s="56"/>
      <c r="G42" s="55"/>
      <c r="H42" s="57"/>
      <c r="I42" s="56"/>
      <c r="J42" s="56"/>
      <c r="K42" s="58"/>
      <c r="L42" s="58"/>
    </row>
    <row r="43" spans="1:12">
      <c r="A43" s="59">
        <v>1</v>
      </c>
      <c r="B43" s="55">
        <v>2</v>
      </c>
      <c r="C43" s="55" t="s">
        <v>321</v>
      </c>
      <c r="D43" s="57" t="s">
        <v>322</v>
      </c>
      <c r="E43" s="56" t="s">
        <v>203</v>
      </c>
      <c r="F43" s="56">
        <v>7</v>
      </c>
      <c r="G43" s="56" t="s">
        <v>204</v>
      </c>
      <c r="H43" s="72">
        <v>7</v>
      </c>
      <c r="I43" s="56" t="s">
        <v>130</v>
      </c>
      <c r="J43" s="56" t="s">
        <v>205</v>
      </c>
      <c r="K43" s="73">
        <v>354.1</v>
      </c>
      <c r="L43" s="73">
        <f>SUM(B43*K43)</f>
        <v>708.2</v>
      </c>
    </row>
    <row r="44" spans="1:12">
      <c r="A44" s="59"/>
      <c r="B44" s="55"/>
      <c r="C44" s="55"/>
      <c r="D44" s="57"/>
      <c r="E44" s="56"/>
      <c r="F44" s="56"/>
      <c r="G44" s="56" t="s">
        <v>206</v>
      </c>
      <c r="H44" s="72"/>
      <c r="I44" s="56"/>
      <c r="J44" s="56"/>
      <c r="K44" s="73"/>
      <c r="L44" s="73"/>
    </row>
    <row r="45" spans="1:12">
      <c r="A45" s="59">
        <v>2</v>
      </c>
      <c r="B45" s="55">
        <v>8</v>
      </c>
      <c r="C45" s="55" t="s">
        <v>207</v>
      </c>
      <c r="D45" s="57" t="s">
        <v>361</v>
      </c>
      <c r="E45" s="56">
        <v>35</v>
      </c>
      <c r="F45" s="56"/>
      <c r="G45" s="55" t="s">
        <v>285</v>
      </c>
      <c r="H45" s="57"/>
      <c r="I45" s="56"/>
      <c r="J45" s="56">
        <v>101190</v>
      </c>
      <c r="K45" s="58">
        <v>18.399999999999999</v>
      </c>
      <c r="L45" s="58">
        <f>SUM(K45*B45)</f>
        <v>147.19999999999999</v>
      </c>
    </row>
    <row r="46" spans="1:12">
      <c r="A46" s="59">
        <f>A45+1</f>
        <v>3</v>
      </c>
      <c r="B46" s="55">
        <v>8</v>
      </c>
      <c r="C46" s="55" t="s">
        <v>362</v>
      </c>
      <c r="D46" s="57" t="s">
        <v>363</v>
      </c>
      <c r="E46" s="56"/>
      <c r="F46" s="56"/>
      <c r="G46" s="55" t="s">
        <v>364</v>
      </c>
      <c r="H46" s="57"/>
      <c r="I46" s="56"/>
      <c r="J46" s="56">
        <v>101520</v>
      </c>
      <c r="K46" s="58">
        <v>55.8</v>
      </c>
      <c r="L46" s="58">
        <f>SUM(K46*B46)</f>
        <v>446.4</v>
      </c>
    </row>
    <row r="47" spans="1:12">
      <c r="A47" s="59">
        <v>4</v>
      </c>
      <c r="B47" s="53">
        <v>2</v>
      </c>
      <c r="C47" s="55" t="s">
        <v>362</v>
      </c>
      <c r="D47" s="74" t="s">
        <v>365</v>
      </c>
      <c r="E47" s="75">
        <v>1</v>
      </c>
      <c r="F47" s="75"/>
      <c r="G47" s="76" t="s">
        <v>366</v>
      </c>
      <c r="H47" s="74"/>
      <c r="I47" s="75"/>
      <c r="J47" s="56">
        <v>102080</v>
      </c>
      <c r="K47" s="58">
        <v>691.4</v>
      </c>
      <c r="L47" s="58">
        <f>SUM(K47*B47)</f>
        <v>1382.8</v>
      </c>
    </row>
    <row r="48" spans="1:12">
      <c r="A48" s="59"/>
      <c r="B48" s="77"/>
      <c r="C48" s="55"/>
      <c r="D48" s="78"/>
      <c r="E48" s="60"/>
      <c r="F48" s="56"/>
      <c r="G48" s="55"/>
      <c r="H48" s="57"/>
      <c r="I48" s="56"/>
      <c r="J48" s="56"/>
      <c r="K48" s="58"/>
      <c r="L48" s="58"/>
    </row>
    <row r="49" spans="1:12">
      <c r="A49" s="56"/>
      <c r="B49" s="55"/>
      <c r="C49" s="55"/>
      <c r="D49" s="55"/>
      <c r="E49" s="56"/>
      <c r="F49" s="56"/>
      <c r="G49" s="55"/>
      <c r="H49" s="57"/>
      <c r="I49" s="56"/>
      <c r="J49" s="57" t="s">
        <v>367</v>
      </c>
      <c r="K49" s="56"/>
      <c r="L49" s="73">
        <f>SUM(L43:L48)</f>
        <v>2684.6000000000004</v>
      </c>
    </row>
    <row r="50" spans="1:12">
      <c r="A50" s="56"/>
      <c r="B50" s="55"/>
      <c r="C50" s="55"/>
      <c r="D50" s="55"/>
      <c r="E50" s="56"/>
      <c r="F50" s="56"/>
      <c r="G50" s="55"/>
      <c r="H50" s="57"/>
      <c r="I50" s="56"/>
      <c r="J50" s="57" t="s">
        <v>368</v>
      </c>
      <c r="K50" s="55"/>
      <c r="L50" s="79">
        <f>-0.25*L49</f>
        <v>-671.15000000000009</v>
      </c>
    </row>
    <row r="51" spans="1:12">
      <c r="A51" s="56"/>
      <c r="B51" s="55"/>
      <c r="C51" s="55"/>
      <c r="D51" s="55"/>
      <c r="E51" s="56"/>
      <c r="F51" s="56"/>
      <c r="G51" s="80"/>
      <c r="H51" s="57"/>
      <c r="I51" s="56"/>
      <c r="J51" s="57" t="s">
        <v>369</v>
      </c>
      <c r="K51" s="56"/>
      <c r="L51" s="79">
        <v>43.61</v>
      </c>
    </row>
    <row r="52" spans="1:12">
      <c r="A52" s="56"/>
      <c r="B52" s="55"/>
      <c r="C52" s="55"/>
      <c r="D52" s="55"/>
      <c r="E52" s="56"/>
      <c r="F52" s="56"/>
      <c r="G52" s="55"/>
      <c r="H52" s="57"/>
      <c r="I52" s="56"/>
      <c r="J52" s="57" t="s">
        <v>370</v>
      </c>
      <c r="K52" s="56"/>
      <c r="L52" s="81">
        <f>SUM(L49:L51)</f>
        <v>2057.0600000000004</v>
      </c>
    </row>
    <row r="53" spans="1:12">
      <c r="A53" s="56"/>
      <c r="B53" s="55"/>
      <c r="C53" s="55"/>
      <c r="D53" s="55"/>
      <c r="E53" s="56"/>
      <c r="F53" s="56"/>
      <c r="G53" s="55"/>
      <c r="H53" s="57"/>
      <c r="I53" s="56"/>
      <c r="J53" s="55"/>
      <c r="K53" s="55"/>
      <c r="L53" s="82"/>
    </row>
    <row r="54" spans="1:12">
      <c r="A54" s="83" t="s">
        <v>371</v>
      </c>
      <c r="B54" s="84"/>
      <c r="C54" s="84" t="s">
        <v>372</v>
      </c>
      <c r="D54" s="84"/>
      <c r="E54" s="85"/>
      <c r="F54" s="85"/>
      <c r="G54" s="84"/>
      <c r="H54" s="86"/>
      <c r="I54" s="85"/>
      <c r="J54" s="87"/>
      <c r="K54" s="88"/>
      <c r="L54" s="88"/>
    </row>
    <row r="55" spans="1:12">
      <c r="A55" s="83"/>
      <c r="B55" s="84"/>
      <c r="C55" s="84"/>
      <c r="D55" s="84"/>
      <c r="E55" s="85"/>
      <c r="F55" s="85"/>
      <c r="G55" s="84"/>
      <c r="H55" s="86"/>
      <c r="I55" s="85"/>
      <c r="J55" s="87"/>
      <c r="K55" s="88"/>
      <c r="L55" s="88"/>
    </row>
    <row r="56" spans="1:12">
      <c r="A56" s="84" t="s">
        <v>373</v>
      </c>
      <c r="B56" s="84"/>
      <c r="C56" s="84" t="s">
        <v>374</v>
      </c>
      <c r="D56" s="84"/>
      <c r="E56" s="85"/>
      <c r="F56" s="85"/>
      <c r="G56" s="84"/>
      <c r="H56" s="86"/>
      <c r="I56" s="85"/>
      <c r="J56" s="87"/>
      <c r="K56" s="88"/>
      <c r="L56" s="88"/>
    </row>
    <row r="57" spans="1:12">
      <c r="A57" s="84"/>
      <c r="B57" s="84"/>
      <c r="C57" s="84" t="s">
        <v>375</v>
      </c>
      <c r="D57" s="84"/>
      <c r="E57" s="85"/>
      <c r="F57" s="85"/>
      <c r="G57" s="84"/>
      <c r="H57" s="86"/>
      <c r="I57" s="85"/>
      <c r="J57" s="87"/>
      <c r="K57" s="88"/>
      <c r="L57" s="88"/>
    </row>
    <row r="58" spans="1:12">
      <c r="A58" s="84"/>
      <c r="B58" s="84"/>
      <c r="C58" s="84" t="s">
        <v>376</v>
      </c>
      <c r="D58" s="84"/>
      <c r="E58" s="85"/>
      <c r="F58" s="85"/>
      <c r="G58" s="84"/>
      <c r="H58" s="86"/>
      <c r="I58" s="85"/>
      <c r="J58" s="87"/>
      <c r="K58" s="88"/>
      <c r="L58" s="88"/>
    </row>
    <row r="59" spans="1:12">
      <c r="A59" s="84"/>
      <c r="B59" s="84"/>
      <c r="C59" s="89"/>
      <c r="D59" s="84"/>
      <c r="E59" s="85"/>
      <c r="F59" s="85"/>
      <c r="G59" s="84"/>
      <c r="H59" s="86"/>
      <c r="I59" s="85"/>
      <c r="J59" s="87"/>
      <c r="K59" s="88"/>
      <c r="L59" s="88"/>
    </row>
    <row r="60" spans="1:12">
      <c r="A60" s="84"/>
      <c r="B60" s="84"/>
      <c r="C60" s="90" t="s">
        <v>377</v>
      </c>
      <c r="D60" s="84"/>
      <c r="E60" s="85"/>
      <c r="F60" s="85"/>
      <c r="G60" s="84"/>
      <c r="H60" s="86"/>
      <c r="I60" s="85"/>
      <c r="J60" s="87"/>
      <c r="K60" s="88"/>
      <c r="L60" s="88"/>
    </row>
    <row r="61" spans="1:12">
      <c r="A61" s="84"/>
      <c r="B61" s="84"/>
      <c r="C61" s="91" t="s">
        <v>378</v>
      </c>
      <c r="D61" s="84"/>
      <c r="E61" s="85"/>
      <c r="F61" s="85"/>
      <c r="G61" s="84"/>
      <c r="H61" s="86"/>
      <c r="I61" s="85"/>
      <c r="J61" s="87"/>
      <c r="K61" s="88"/>
      <c r="L61" s="88"/>
    </row>
    <row r="62" spans="1:12">
      <c r="A62" s="84"/>
      <c r="B62" s="84"/>
      <c r="C62" s="84"/>
      <c r="D62" s="84"/>
      <c r="E62" s="85"/>
      <c r="F62" s="85"/>
      <c r="G62" s="84"/>
      <c r="H62" s="86"/>
      <c r="I62" s="85"/>
      <c r="J62" s="87"/>
      <c r="K62" s="88"/>
      <c r="L62" s="88"/>
    </row>
    <row r="63" spans="1:12">
      <c r="A63" s="84" t="s">
        <v>379</v>
      </c>
      <c r="B63" s="84"/>
      <c r="C63" s="84"/>
      <c r="D63" s="84"/>
      <c r="E63" s="85"/>
      <c r="F63" s="85"/>
      <c r="G63" s="84"/>
      <c r="H63" s="86"/>
      <c r="I63" s="85"/>
      <c r="J63" s="87"/>
      <c r="K63" s="88"/>
      <c r="L63" s="88"/>
    </row>
    <row r="64" spans="1:12">
      <c r="A64" s="84"/>
      <c r="B64" s="84"/>
      <c r="C64" s="84"/>
      <c r="D64" s="84"/>
      <c r="E64" s="85"/>
      <c r="F64" s="85"/>
      <c r="G64" s="84"/>
      <c r="H64" s="86"/>
      <c r="I64" s="85"/>
      <c r="J64" s="87"/>
      <c r="K64" s="88"/>
      <c r="L64" s="88"/>
    </row>
    <row r="65" spans="1:12">
      <c r="A65" s="84" t="s">
        <v>380</v>
      </c>
      <c r="B65" s="84"/>
      <c r="C65" s="84"/>
      <c r="D65" s="84"/>
      <c r="E65" s="85"/>
      <c r="F65" s="85"/>
      <c r="G65" s="84"/>
      <c r="H65" s="86"/>
      <c r="I65" s="85"/>
      <c r="J65" s="87"/>
      <c r="K65" s="88"/>
      <c r="L65" s="88"/>
    </row>
    <row r="66" spans="1:12">
      <c r="A66" s="84" t="s">
        <v>381</v>
      </c>
      <c r="B66" s="84"/>
      <c r="C66" s="84"/>
      <c r="D66" s="84"/>
      <c r="E66" s="85"/>
      <c r="F66" s="85"/>
      <c r="G66" s="84"/>
      <c r="H66" s="86"/>
      <c r="I66" s="85"/>
      <c r="J66" s="87"/>
      <c r="K66" s="88"/>
      <c r="L66" s="88"/>
    </row>
    <row r="67" spans="1:12">
      <c r="A67" s="52" t="s">
        <v>382</v>
      </c>
      <c r="B67" s="55"/>
      <c r="C67" s="55"/>
      <c r="D67" s="55"/>
      <c r="E67" s="56"/>
      <c r="F67" s="56"/>
      <c r="G67" s="55"/>
      <c r="H67" s="57"/>
      <c r="I67" s="56"/>
      <c r="J67" s="55"/>
      <c r="K67" s="58"/>
      <c r="L67" s="58" t="s">
        <v>383</v>
      </c>
    </row>
    <row r="68" spans="1:12">
      <c r="A68" s="92"/>
      <c r="B68" s="93"/>
      <c r="C68" s="93"/>
      <c r="D68" s="94"/>
      <c r="E68" s="95"/>
      <c r="F68" s="96"/>
      <c r="G68" s="93"/>
      <c r="H68" s="94"/>
      <c r="I68" s="96"/>
      <c r="J68" s="96"/>
      <c r="K68" s="97"/>
      <c r="L68" s="98"/>
    </row>
    <row r="69" spans="1:12">
      <c r="A69" s="93"/>
      <c r="B69" s="93"/>
      <c r="C69" s="93"/>
      <c r="D69" s="93"/>
      <c r="E69" s="93"/>
      <c r="F69" s="93"/>
      <c r="G69" s="93"/>
      <c r="H69" s="93"/>
      <c r="I69" s="93"/>
      <c r="J69" s="93"/>
      <c r="K69" s="93"/>
      <c r="L69" s="93"/>
    </row>
  </sheetData>
  <mergeCells count="3">
    <mergeCell ref="A28:L28"/>
    <mergeCell ref="K34:L34"/>
    <mergeCell ref="A38:L38"/>
  </mergeCells>
  <phoneticPr fontId="3"/>
  <hyperlinks>
    <hyperlink ref="C61" r:id="rId1"/>
  </hyperlink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H30" sqref="H30"/>
    </sheetView>
  </sheetViews>
  <sheetFormatPr baseColWidth="10" defaultRowHeight="13" x14ac:dyDescent="0"/>
  <cols>
    <col min="6" max="6" width="11" bestFit="1" customWidth="1"/>
  </cols>
  <sheetData>
    <row r="1" spans="1:8">
      <c r="A1" t="s">
        <v>67</v>
      </c>
      <c r="F1" t="s">
        <v>33</v>
      </c>
      <c r="G1" t="s">
        <v>484</v>
      </c>
    </row>
    <row r="2" spans="1:8">
      <c r="B2" t="s">
        <v>68</v>
      </c>
      <c r="D2" t="s">
        <v>483</v>
      </c>
      <c r="F2">
        <v>1</v>
      </c>
      <c r="G2">
        <v>67</v>
      </c>
    </row>
    <row r="3" spans="1:8">
      <c r="C3" t="s">
        <v>69</v>
      </c>
      <c r="D3" t="s">
        <v>70</v>
      </c>
      <c r="F3" s="6">
        <f>H3*$G$2</f>
        <v>134000</v>
      </c>
      <c r="H3" s="42">
        <v>2000</v>
      </c>
    </row>
    <row r="4" spans="1:8">
      <c r="C4" t="s">
        <v>69</v>
      </c>
      <c r="D4" t="s">
        <v>71</v>
      </c>
      <c r="F4" s="6">
        <f t="shared" ref="F4:F28" si="0">H4*$G$2</f>
        <v>26800</v>
      </c>
      <c r="H4" s="42">
        <v>400</v>
      </c>
    </row>
    <row r="5" spans="1:8">
      <c r="C5" t="s">
        <v>69</v>
      </c>
      <c r="D5" t="s">
        <v>211</v>
      </c>
      <c r="F5" s="6">
        <f t="shared" si="0"/>
        <v>54007.360000000001</v>
      </c>
      <c r="H5" s="42">
        <v>806.08</v>
      </c>
    </row>
    <row r="6" spans="1:8">
      <c r="C6" t="s">
        <v>69</v>
      </c>
      <c r="D6" t="s">
        <v>212</v>
      </c>
      <c r="F6" s="6">
        <f t="shared" si="0"/>
        <v>54028.799999999996</v>
      </c>
      <c r="H6" s="42">
        <v>806.4</v>
      </c>
    </row>
    <row r="7" spans="1:8">
      <c r="C7" t="s">
        <v>69</v>
      </c>
      <c r="D7" t="s">
        <v>213</v>
      </c>
      <c r="F7" s="6">
        <f t="shared" si="0"/>
        <v>13994.96</v>
      </c>
      <c r="H7" s="42">
        <v>208.88</v>
      </c>
    </row>
    <row r="8" spans="1:8">
      <c r="C8" t="s">
        <v>69</v>
      </c>
      <c r="D8" t="s">
        <v>214</v>
      </c>
      <c r="F8" s="6">
        <f t="shared" si="0"/>
        <v>6914.4000000000005</v>
      </c>
      <c r="H8" s="42">
        <v>103.2</v>
      </c>
    </row>
    <row r="9" spans="1:8">
      <c r="C9" t="s">
        <v>69</v>
      </c>
      <c r="D9" t="s">
        <v>215</v>
      </c>
      <c r="F9" s="6">
        <f t="shared" si="0"/>
        <v>28475</v>
      </c>
      <c r="H9" s="42">
        <v>425</v>
      </c>
    </row>
    <row r="10" spans="1:8">
      <c r="C10" t="s">
        <v>69</v>
      </c>
      <c r="D10" t="s">
        <v>216</v>
      </c>
      <c r="F10" s="6">
        <f t="shared" si="0"/>
        <v>16750</v>
      </c>
      <c r="H10" s="42">
        <v>250</v>
      </c>
    </row>
    <row r="11" spans="1:8">
      <c r="C11" t="s">
        <v>69</v>
      </c>
      <c r="D11" t="s">
        <v>217</v>
      </c>
      <c r="F11" s="6">
        <f t="shared" si="0"/>
        <v>10050</v>
      </c>
      <c r="H11" s="42">
        <v>150</v>
      </c>
    </row>
    <row r="12" spans="1:8">
      <c r="C12" t="s">
        <v>69</v>
      </c>
      <c r="D12" t="s">
        <v>218</v>
      </c>
      <c r="F12" s="6"/>
    </row>
    <row r="13" spans="1:8">
      <c r="C13" t="s">
        <v>69</v>
      </c>
      <c r="D13" t="s">
        <v>219</v>
      </c>
      <c r="F13" s="6">
        <f t="shared" si="0"/>
        <v>2144</v>
      </c>
      <c r="H13" s="42">
        <v>32</v>
      </c>
    </row>
    <row r="14" spans="1:8">
      <c r="C14" t="s">
        <v>69</v>
      </c>
      <c r="D14" t="s">
        <v>220</v>
      </c>
      <c r="F14" s="6"/>
    </row>
    <row r="15" spans="1:8">
      <c r="C15" t="s">
        <v>69</v>
      </c>
      <c r="D15" t="s">
        <v>80</v>
      </c>
      <c r="F15" s="6">
        <f t="shared" si="0"/>
        <v>8040</v>
      </c>
      <c r="H15" s="42">
        <v>120</v>
      </c>
    </row>
    <row r="16" spans="1:8">
      <c r="C16" t="s">
        <v>69</v>
      </c>
      <c r="D16" t="s">
        <v>81</v>
      </c>
      <c r="F16" s="6">
        <f t="shared" si="0"/>
        <v>2010</v>
      </c>
      <c r="H16" s="42">
        <v>30</v>
      </c>
    </row>
    <row r="17" spans="3:8">
      <c r="C17" t="s">
        <v>69</v>
      </c>
      <c r="D17" t="s">
        <v>82</v>
      </c>
      <c r="F17" s="6"/>
    </row>
    <row r="18" spans="3:8">
      <c r="C18" t="s">
        <v>69</v>
      </c>
      <c r="D18" t="s">
        <v>83</v>
      </c>
      <c r="F18" s="6">
        <f t="shared" si="0"/>
        <v>2010</v>
      </c>
      <c r="H18" s="42">
        <v>30</v>
      </c>
    </row>
    <row r="19" spans="3:8">
      <c r="C19" t="s">
        <v>69</v>
      </c>
      <c r="D19" t="s">
        <v>239</v>
      </c>
      <c r="F19" s="6"/>
    </row>
    <row r="20" spans="3:8">
      <c r="C20" t="s">
        <v>69</v>
      </c>
      <c r="D20" t="s">
        <v>240</v>
      </c>
      <c r="E20" t="s">
        <v>241</v>
      </c>
      <c r="F20" s="6">
        <f t="shared" si="0"/>
        <v>2010</v>
      </c>
      <c r="H20" s="42">
        <v>30</v>
      </c>
    </row>
    <row r="21" spans="3:8">
      <c r="C21" t="s">
        <v>69</v>
      </c>
      <c r="D21" t="s">
        <v>242</v>
      </c>
      <c r="F21" s="6"/>
    </row>
    <row r="22" spans="3:8">
      <c r="C22" t="s">
        <v>69</v>
      </c>
      <c r="D22" t="s">
        <v>243</v>
      </c>
      <c r="F22" s="6"/>
    </row>
    <row r="23" spans="3:8">
      <c r="C23" t="s">
        <v>69</v>
      </c>
      <c r="D23" t="s">
        <v>85</v>
      </c>
      <c r="F23" s="6">
        <f t="shared" si="0"/>
        <v>2010</v>
      </c>
      <c r="H23" s="42">
        <v>30</v>
      </c>
    </row>
    <row r="24" spans="3:8">
      <c r="C24" t="s">
        <v>69</v>
      </c>
      <c r="D24" t="s">
        <v>86</v>
      </c>
      <c r="F24" s="6"/>
    </row>
    <row r="25" spans="3:8">
      <c r="C25" t="s">
        <v>69</v>
      </c>
      <c r="D25" t="s">
        <v>13</v>
      </c>
      <c r="F25" s="6">
        <f t="shared" si="0"/>
        <v>3350</v>
      </c>
      <c r="H25" s="42">
        <v>50</v>
      </c>
    </row>
    <row r="26" spans="3:8">
      <c r="C26" t="s">
        <v>69</v>
      </c>
      <c r="D26" t="s">
        <v>136</v>
      </c>
      <c r="F26" s="6"/>
    </row>
    <row r="27" spans="3:8">
      <c r="F27" s="6"/>
    </row>
    <row r="28" spans="3:8">
      <c r="F28" s="6">
        <f t="shared" si="0"/>
        <v>366594.51999999996</v>
      </c>
      <c r="H28" s="42">
        <f>SUM(H3:H25)</f>
        <v>5471.5599999999995</v>
      </c>
    </row>
  </sheetData>
  <phoneticPr fontId="3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opLeftCell="G1" workbookViewId="0">
      <selection activeCell="S16" sqref="S16"/>
    </sheetView>
  </sheetViews>
  <sheetFormatPr baseColWidth="10" defaultRowHeight="13" x14ac:dyDescent="0"/>
  <cols>
    <col min="1" max="1" width="34.28515625" customWidth="1"/>
    <col min="2" max="2" width="26.140625" customWidth="1"/>
    <col min="3" max="3" width="14.5703125" customWidth="1"/>
    <col min="4" max="4" width="15.140625" customWidth="1"/>
    <col min="5" max="5" width="14.5703125" customWidth="1"/>
    <col min="6" max="6" width="14.28515625" customWidth="1"/>
    <col min="9" max="9" width="15.140625" bestFit="1" customWidth="1"/>
  </cols>
  <sheetData>
    <row r="1" spans="1:10">
      <c r="I1" s="39" t="s">
        <v>3</v>
      </c>
    </row>
    <row r="2" spans="1:10">
      <c r="A2" t="s">
        <v>201</v>
      </c>
      <c r="G2" t="s">
        <v>29</v>
      </c>
      <c r="I2" s="139">
        <v>304.05900000000003</v>
      </c>
      <c r="J2" t="s">
        <v>2</v>
      </c>
    </row>
    <row r="3" spans="1:10">
      <c r="G3" t="s">
        <v>28</v>
      </c>
      <c r="I3" s="1">
        <v>4871683</v>
      </c>
      <c r="J3" t="s">
        <v>76</v>
      </c>
    </row>
    <row r="4" spans="1:10">
      <c r="I4" t="s">
        <v>4</v>
      </c>
    </row>
    <row r="5" spans="1:10">
      <c r="D5" t="s">
        <v>26</v>
      </c>
      <c r="E5" t="s">
        <v>25</v>
      </c>
    </row>
    <row r="6" spans="1:10">
      <c r="B6" t="s">
        <v>75</v>
      </c>
      <c r="D6" t="s">
        <v>202</v>
      </c>
      <c r="E6" t="s">
        <v>202</v>
      </c>
    </row>
    <row r="7" spans="1:10">
      <c r="B7" t="s">
        <v>24</v>
      </c>
      <c r="C7" s="109">
        <f>I3/I2</f>
        <v>16022.163461696577</v>
      </c>
      <c r="D7" s="5">
        <f>$C$7/2.2</f>
        <v>7282.8015734984438</v>
      </c>
      <c r="E7" s="5">
        <f>$C$7/2.2</f>
        <v>7282.8015734984438</v>
      </c>
      <c r="G7" t="s">
        <v>358</v>
      </c>
    </row>
    <row r="8" spans="1:10">
      <c r="B8" t="s">
        <v>353</v>
      </c>
      <c r="D8">
        <v>0.56999999999999995</v>
      </c>
      <c r="E8" s="23">
        <v>0.56999999999999995</v>
      </c>
      <c r="G8" t="s">
        <v>357</v>
      </c>
    </row>
    <row r="9" spans="1:10">
      <c r="B9" t="s">
        <v>354</v>
      </c>
      <c r="D9" s="40">
        <f>D7*D8</f>
        <v>4151.1968968941128</v>
      </c>
      <c r="E9" s="40">
        <f>E7*E8</f>
        <v>4151.1968968941128</v>
      </c>
      <c r="G9" t="s">
        <v>356</v>
      </c>
    </row>
    <row r="10" spans="1:10">
      <c r="B10" t="s">
        <v>359</v>
      </c>
      <c r="D10" s="129">
        <v>0.7</v>
      </c>
      <c r="E10" s="129">
        <v>0.2</v>
      </c>
    </row>
    <row r="11" spans="1:10">
      <c r="B11" t="s">
        <v>360</v>
      </c>
      <c r="D11" s="129">
        <v>0.7</v>
      </c>
      <c r="E11" s="129">
        <v>0.5</v>
      </c>
    </row>
    <row r="12" spans="1:10">
      <c r="D12" s="108"/>
    </row>
    <row r="13" spans="1:10">
      <c r="B13" t="s">
        <v>27</v>
      </c>
      <c r="D13" s="132">
        <v>0.25</v>
      </c>
      <c r="E13" s="131">
        <f>E8</f>
        <v>0.56999999999999995</v>
      </c>
    </row>
    <row r="14" spans="1:10">
      <c r="D14" s="133">
        <f>D9*D10*D13</f>
        <v>726.45945695646969</v>
      </c>
      <c r="E14" s="4">
        <f>E9*E10</f>
        <v>830.2393793788226</v>
      </c>
      <c r="G14" t="s">
        <v>224</v>
      </c>
    </row>
    <row r="15" spans="1:10">
      <c r="D15" s="134">
        <f>D14*D11</f>
        <v>508.52161986952876</v>
      </c>
      <c r="E15" s="4">
        <f>E14*E11</f>
        <v>415.1196896894113</v>
      </c>
      <c r="G15" t="s">
        <v>225</v>
      </c>
    </row>
    <row r="16" spans="1:10">
      <c r="B16" t="s">
        <v>34</v>
      </c>
      <c r="C16" s="129">
        <v>0.2</v>
      </c>
      <c r="D16" s="134">
        <f>D15*C16</f>
        <v>101.70432397390576</v>
      </c>
      <c r="E16" s="4">
        <f>E15*C16</f>
        <v>83.023937937882266</v>
      </c>
      <c r="G16" t="s">
        <v>388</v>
      </c>
    </row>
    <row r="18" spans="1:11">
      <c r="B18" t="s">
        <v>403</v>
      </c>
      <c r="C18" s="3">
        <v>4</v>
      </c>
      <c r="D18" s="4">
        <f>D16*C18</f>
        <v>406.81729589562303</v>
      </c>
      <c r="E18" s="4">
        <f>E16*C18</f>
        <v>332.09575175152906</v>
      </c>
      <c r="G18" t="s">
        <v>392</v>
      </c>
    </row>
    <row r="21" spans="1:11">
      <c r="A21" t="s">
        <v>404</v>
      </c>
      <c r="B21" t="s">
        <v>355</v>
      </c>
      <c r="C21" s="130">
        <v>100000</v>
      </c>
      <c r="G21" t="s">
        <v>393</v>
      </c>
    </row>
    <row r="22" spans="1:11">
      <c r="B22" t="s">
        <v>405</v>
      </c>
      <c r="C22" s="128">
        <v>1E-3</v>
      </c>
      <c r="D22" s="41">
        <f>D18*C21*C22</f>
        <v>40681.729589562303</v>
      </c>
      <c r="E22" s="40">
        <f>C22*C21*E18</f>
        <v>33209.57517515291</v>
      </c>
      <c r="G22" t="s">
        <v>394</v>
      </c>
    </row>
    <row r="23" spans="1:11">
      <c r="B23" t="s">
        <v>406</v>
      </c>
      <c r="C23" s="128"/>
      <c r="E23" s="127"/>
      <c r="F23" s="40"/>
    </row>
    <row r="24" spans="1:11">
      <c r="C24" s="128"/>
      <c r="E24" s="127"/>
      <c r="F24" s="40"/>
    </row>
    <row r="25" spans="1:11">
      <c r="C25" s="128"/>
      <c r="E25" s="127"/>
      <c r="F25" s="40"/>
    </row>
    <row r="26" spans="1:11">
      <c r="D26" s="134">
        <f>D16</f>
        <v>101.70432397390576</v>
      </c>
      <c r="E26" s="4">
        <f>E16</f>
        <v>83.023937937882266</v>
      </c>
      <c r="G26" t="s">
        <v>5</v>
      </c>
    </row>
    <row r="27" spans="1:11">
      <c r="A27" t="s">
        <v>407</v>
      </c>
      <c r="D27" s="134">
        <f>D18</f>
        <v>406.81729589562303</v>
      </c>
      <c r="E27" s="4">
        <f>E18</f>
        <v>332.09575175152906</v>
      </c>
      <c r="G27" t="s">
        <v>392</v>
      </c>
    </row>
    <row r="28" spans="1:11">
      <c r="A28" s="24" t="s">
        <v>72</v>
      </c>
      <c r="B28" s="24"/>
      <c r="C28" s="24"/>
      <c r="D28" s="138">
        <f>C21*D27</f>
        <v>40681729.589562304</v>
      </c>
      <c r="E28" s="138">
        <f>E18*C21</f>
        <v>33209575.175152905</v>
      </c>
      <c r="G28" t="s">
        <v>395</v>
      </c>
    </row>
    <row r="29" spans="1:11">
      <c r="A29" t="s">
        <v>396</v>
      </c>
      <c r="C29" s="39" t="s">
        <v>74</v>
      </c>
      <c r="F29" s="3"/>
      <c r="G29" t="s">
        <v>162</v>
      </c>
      <c r="K29" t="s">
        <v>163</v>
      </c>
    </row>
    <row r="30" spans="1:11">
      <c r="A30">
        <v>1</v>
      </c>
      <c r="B30">
        <v>10</v>
      </c>
      <c r="C30" s="129">
        <v>0.96</v>
      </c>
      <c r="D30" s="40">
        <f>$D$27*(1-C30)*$C$21</f>
        <v>1627269.1835824936</v>
      </c>
      <c r="E30" s="40">
        <f>$E$27*(1-C30)*$C$21</f>
        <v>1328383.0070061174</v>
      </c>
      <c r="G30" t="s">
        <v>399</v>
      </c>
    </row>
    <row r="31" spans="1:11">
      <c r="A31">
        <f>B30+1</f>
        <v>11</v>
      </c>
      <c r="B31" s="5">
        <v>30</v>
      </c>
      <c r="C31" s="129">
        <v>0.94</v>
      </c>
      <c r="D31" s="40">
        <f>$D$27*(1-C31)*$C$21</f>
        <v>2440903.7753737406</v>
      </c>
      <c r="E31" s="40">
        <f>$E$27*(1-C31)*$C$21</f>
        <v>1992574.5105091759</v>
      </c>
      <c r="G31" t="s">
        <v>400</v>
      </c>
      <c r="K31" t="s">
        <v>408</v>
      </c>
    </row>
    <row r="32" spans="1:11">
      <c r="A32">
        <f>B31+1</f>
        <v>31</v>
      </c>
      <c r="B32">
        <v>50</v>
      </c>
      <c r="C32" s="129">
        <v>0.9</v>
      </c>
      <c r="D32" s="40">
        <f>$D$27*(1-C32)*$C$21</f>
        <v>4068172.9589562295</v>
      </c>
      <c r="E32" s="40">
        <f>$E$27*(1-C32)*$C$21</f>
        <v>3320957.5175152901</v>
      </c>
      <c r="G32" t="s">
        <v>401</v>
      </c>
      <c r="K32" t="s">
        <v>409</v>
      </c>
    </row>
    <row r="33" spans="1:8">
      <c r="A33">
        <f>B32+1</f>
        <v>51</v>
      </c>
      <c r="B33" t="s">
        <v>73</v>
      </c>
      <c r="C33" s="129">
        <v>0.85</v>
      </c>
      <c r="D33" s="40">
        <f>$D$27*(1-C33)*$C$21</f>
        <v>6102259.4384343466</v>
      </c>
      <c r="E33" s="40">
        <f>$E$27*(1-C33)*$C$21</f>
        <v>4981436.2762729367</v>
      </c>
      <c r="G33" t="s">
        <v>402</v>
      </c>
    </row>
    <row r="34" spans="1:8">
      <c r="E34" s="4"/>
      <c r="F34" s="40"/>
    </row>
    <row r="36" spans="1:8">
      <c r="E36" s="4"/>
      <c r="F36" s="40"/>
    </row>
    <row r="37" spans="1:8">
      <c r="A37" t="s">
        <v>410</v>
      </c>
    </row>
    <row r="38" spans="1:8">
      <c r="A38" t="s">
        <v>411</v>
      </c>
      <c r="B38" t="s">
        <v>412</v>
      </c>
      <c r="F38" s="1">
        <v>10000000</v>
      </c>
      <c r="H38" t="s">
        <v>6</v>
      </c>
    </row>
    <row r="39" spans="1:8">
      <c r="H39" t="s">
        <v>7</v>
      </c>
    </row>
    <row r="40" spans="1:8">
      <c r="H40" t="s">
        <v>8</v>
      </c>
    </row>
    <row r="41" spans="1:8">
      <c r="A41" t="s">
        <v>413</v>
      </c>
      <c r="H41" t="s">
        <v>9</v>
      </c>
    </row>
    <row r="42" spans="1:8">
      <c r="B42" t="s">
        <v>414</v>
      </c>
      <c r="F42" s="6">
        <v>120000</v>
      </c>
    </row>
    <row r="43" spans="1:8">
      <c r="B43" t="s">
        <v>415</v>
      </c>
      <c r="C43" s="7">
        <v>0.01</v>
      </c>
      <c r="D43" t="s">
        <v>416</v>
      </c>
      <c r="E43" s="127">
        <f>$E$15*C43</f>
        <v>4.1511968968941133</v>
      </c>
    </row>
    <row r="45" spans="1:8" ht="16">
      <c r="B45" s="136" t="s">
        <v>167</v>
      </c>
    </row>
    <row r="46" spans="1:8">
      <c r="F46" s="135" t="s">
        <v>164</v>
      </c>
    </row>
    <row r="47" spans="1:8">
      <c r="A47" t="s">
        <v>417</v>
      </c>
      <c r="F47" s="135" t="s">
        <v>165</v>
      </c>
    </row>
    <row r="48" spans="1:8">
      <c r="F48" s="135" t="s">
        <v>166</v>
      </c>
    </row>
    <row r="49" spans="1:10">
      <c r="A49" t="s">
        <v>418</v>
      </c>
      <c r="B49" t="s">
        <v>419</v>
      </c>
      <c r="C49" t="s">
        <v>420</v>
      </c>
    </row>
    <row r="50" spans="1:10">
      <c r="A50" t="s">
        <v>351</v>
      </c>
      <c r="B50" t="s">
        <v>421</v>
      </c>
      <c r="C50" t="s">
        <v>422</v>
      </c>
      <c r="D50" s="39" t="s">
        <v>349</v>
      </c>
      <c r="E50" s="39" t="s">
        <v>350</v>
      </c>
      <c r="F50" s="137" t="s">
        <v>352</v>
      </c>
    </row>
    <row r="51" spans="1:10">
      <c r="A51" t="s">
        <v>237</v>
      </c>
      <c r="B51" s="1">
        <v>14848</v>
      </c>
      <c r="C51" s="6">
        <v>4272</v>
      </c>
      <c r="D51" s="6">
        <v>1075</v>
      </c>
      <c r="E51" s="6">
        <v>2150</v>
      </c>
      <c r="F51" s="6">
        <v>3149275862</v>
      </c>
      <c r="G51" s="6"/>
    </row>
    <row r="52" spans="1:10">
      <c r="A52" t="s">
        <v>238</v>
      </c>
      <c r="B52" s="1">
        <v>10531</v>
      </c>
      <c r="C52" s="6">
        <v>3030</v>
      </c>
      <c r="D52" s="6">
        <v>763</v>
      </c>
      <c r="E52" s="6">
        <v>1525</v>
      </c>
      <c r="F52" s="6">
        <v>686337931</v>
      </c>
    </row>
    <row r="53" spans="1:10">
      <c r="A53" t="s">
        <v>397</v>
      </c>
      <c r="B53" s="1">
        <v>10153</v>
      </c>
      <c r="C53" s="6">
        <v>2921</v>
      </c>
      <c r="D53" s="6">
        <v>735</v>
      </c>
      <c r="E53" s="6">
        <v>1470</v>
      </c>
      <c r="F53" s="6">
        <v>3026751724</v>
      </c>
    </row>
    <row r="54" spans="1:10">
      <c r="A54" t="s">
        <v>398</v>
      </c>
      <c r="B54" s="1">
        <v>9738</v>
      </c>
      <c r="C54" s="6">
        <v>2802</v>
      </c>
      <c r="D54" s="6">
        <v>705</v>
      </c>
      <c r="E54" s="6">
        <v>1410</v>
      </c>
      <c r="F54" s="6">
        <v>531010345</v>
      </c>
    </row>
    <row r="55" spans="1:10">
      <c r="A55" t="s">
        <v>244</v>
      </c>
      <c r="B55" s="1">
        <v>15204</v>
      </c>
      <c r="C55" s="6">
        <v>4374</v>
      </c>
      <c r="D55" s="6">
        <v>1101</v>
      </c>
      <c r="E55" s="6">
        <v>2202</v>
      </c>
      <c r="F55" s="6">
        <v>1077879310</v>
      </c>
      <c r="J55" s="7"/>
    </row>
    <row r="56" spans="1:10">
      <c r="A56" t="s">
        <v>245</v>
      </c>
      <c r="B56" s="1">
        <v>10853</v>
      </c>
      <c r="C56" s="6">
        <v>3122</v>
      </c>
      <c r="D56" s="6">
        <v>786</v>
      </c>
      <c r="E56" s="6">
        <v>1572</v>
      </c>
      <c r="F56" s="6">
        <v>4082037931</v>
      </c>
    </row>
    <row r="57" spans="1:10">
      <c r="A57" t="s">
        <v>246</v>
      </c>
      <c r="B57" s="1">
        <v>11058</v>
      </c>
      <c r="C57" s="6">
        <v>3181</v>
      </c>
      <c r="D57" s="6">
        <v>801</v>
      </c>
      <c r="E57" s="6">
        <v>1602</v>
      </c>
      <c r="F57" s="6">
        <v>1159489655</v>
      </c>
    </row>
    <row r="58" spans="1:10">
      <c r="A58" t="s">
        <v>247</v>
      </c>
      <c r="B58" s="1">
        <v>10556</v>
      </c>
      <c r="C58" s="6">
        <v>3037</v>
      </c>
      <c r="D58" s="6">
        <v>764</v>
      </c>
      <c r="E58" s="6">
        <v>1529</v>
      </c>
      <c r="F58" s="6">
        <v>1589917241</v>
      </c>
    </row>
    <row r="59" spans="1:10">
      <c r="A59" t="s">
        <v>248</v>
      </c>
      <c r="B59" s="1">
        <v>12351</v>
      </c>
      <c r="C59" s="6">
        <v>3553</v>
      </c>
      <c r="D59" s="6">
        <v>894</v>
      </c>
      <c r="E59" s="6">
        <v>1789</v>
      </c>
      <c r="F59" s="6">
        <v>931024138</v>
      </c>
    </row>
    <row r="60" spans="1:10">
      <c r="A60" t="s">
        <v>249</v>
      </c>
      <c r="B60" s="1">
        <v>15665</v>
      </c>
      <c r="C60" s="6">
        <v>4507</v>
      </c>
      <c r="D60" s="6">
        <v>1134</v>
      </c>
      <c r="E60" s="6">
        <v>2269</v>
      </c>
      <c r="F60" s="6">
        <v>4023600000</v>
      </c>
    </row>
    <row r="61" spans="1:10">
      <c r="A61" t="s">
        <v>250</v>
      </c>
      <c r="B61" s="1">
        <v>14278</v>
      </c>
      <c r="C61" s="6">
        <v>4108</v>
      </c>
      <c r="D61" s="6">
        <v>1034</v>
      </c>
      <c r="E61" s="6">
        <v>2068</v>
      </c>
      <c r="F61" s="6">
        <v>1986165517</v>
      </c>
    </row>
    <row r="62" spans="1:10">
      <c r="A62" t="s">
        <v>251</v>
      </c>
      <c r="B62" s="1">
        <v>10900</v>
      </c>
      <c r="C62" s="6">
        <v>3136</v>
      </c>
      <c r="D62" s="6">
        <v>789</v>
      </c>
      <c r="E62" s="6">
        <v>1579</v>
      </c>
      <c r="F62" s="6">
        <v>2879389655</v>
      </c>
    </row>
    <row r="63" spans="1:10">
      <c r="A63" t="s">
        <v>252</v>
      </c>
      <c r="B63" s="1">
        <v>9593</v>
      </c>
      <c r="C63" s="6">
        <v>2760</v>
      </c>
      <c r="D63" s="6">
        <v>695</v>
      </c>
      <c r="E63" s="6">
        <v>1389</v>
      </c>
      <c r="F63" s="6">
        <v>543900000</v>
      </c>
    </row>
    <row r="64" spans="1:10">
      <c r="A64" t="s">
        <v>253</v>
      </c>
      <c r="B64" s="1">
        <v>12353</v>
      </c>
      <c r="C64" s="6">
        <v>3554</v>
      </c>
      <c r="D64" s="6">
        <v>895</v>
      </c>
      <c r="E64" s="6">
        <v>1789</v>
      </c>
      <c r="F64" s="6">
        <v>954486207</v>
      </c>
    </row>
    <row r="65" spans="1:8">
      <c r="A65" t="s">
        <v>254</v>
      </c>
      <c r="B65" s="1">
        <v>12409</v>
      </c>
      <c r="C65" s="6">
        <v>3570</v>
      </c>
      <c r="D65" s="6">
        <v>899</v>
      </c>
      <c r="E65" s="6">
        <v>1797</v>
      </c>
      <c r="F65" s="6">
        <v>691913793</v>
      </c>
    </row>
    <row r="66" spans="1:8">
      <c r="A66" t="s">
        <v>255</v>
      </c>
      <c r="B66" s="1">
        <v>7051</v>
      </c>
      <c r="C66" s="6">
        <v>2028</v>
      </c>
      <c r="D66" s="6">
        <v>511</v>
      </c>
      <c r="E66" s="6">
        <v>1021</v>
      </c>
      <c r="F66" s="6">
        <v>292551724</v>
      </c>
    </row>
    <row r="67" spans="1:8">
      <c r="A67" t="s">
        <v>256</v>
      </c>
      <c r="B67" s="1">
        <v>12049</v>
      </c>
      <c r="C67" s="6">
        <v>3466</v>
      </c>
      <c r="D67" s="6">
        <v>873</v>
      </c>
      <c r="E67" s="6">
        <v>1745</v>
      </c>
      <c r="F67" s="6">
        <v>2865341379</v>
      </c>
      <c r="H67" t="s">
        <v>10</v>
      </c>
    </row>
    <row r="68" spans="1:8">
      <c r="A68" t="s">
        <v>257</v>
      </c>
      <c r="B68" s="1">
        <v>10435</v>
      </c>
      <c r="C68" s="6">
        <v>3002</v>
      </c>
      <c r="D68" s="6">
        <v>756</v>
      </c>
      <c r="E68" s="6">
        <v>1511</v>
      </c>
      <c r="F68" s="6">
        <v>896193103</v>
      </c>
      <c r="H68" t="s">
        <v>11</v>
      </c>
    </row>
    <row r="69" spans="1:8">
      <c r="A69" t="s">
        <v>258</v>
      </c>
      <c r="B69" s="1">
        <v>13905</v>
      </c>
      <c r="C69" s="6">
        <v>4000</v>
      </c>
      <c r="D69" s="6">
        <v>1007</v>
      </c>
      <c r="E69" s="6">
        <v>2014</v>
      </c>
      <c r="F69" s="6">
        <v>952531034</v>
      </c>
      <c r="H69" t="s">
        <v>12</v>
      </c>
    </row>
    <row r="70" spans="1:8">
      <c r="A70" t="s">
        <v>259</v>
      </c>
      <c r="B70" s="1">
        <v>11857</v>
      </c>
      <c r="C70" s="6">
        <v>3411</v>
      </c>
      <c r="D70" s="6">
        <v>859</v>
      </c>
      <c r="E70" s="6">
        <v>1717</v>
      </c>
      <c r="F70" s="6">
        <v>1179693103</v>
      </c>
    </row>
    <row r="71" spans="1:8">
      <c r="A71" t="s">
        <v>260</v>
      </c>
      <c r="B71" s="1">
        <v>8111</v>
      </c>
      <c r="C71" s="6">
        <v>2333</v>
      </c>
      <c r="D71" s="6">
        <v>587</v>
      </c>
      <c r="E71" s="6">
        <v>1175</v>
      </c>
      <c r="F71" s="6">
        <v>641948276</v>
      </c>
    </row>
    <row r="72" spans="1:8">
      <c r="A72" t="s">
        <v>261</v>
      </c>
      <c r="B72" s="1">
        <v>11532</v>
      </c>
      <c r="C72" s="6">
        <v>3317</v>
      </c>
      <c r="D72" s="6">
        <v>835</v>
      </c>
      <c r="E72" s="6">
        <v>1670</v>
      </c>
      <c r="F72" s="6">
        <v>8197675862</v>
      </c>
    </row>
    <row r="73" spans="1:8">
      <c r="A73" t="s">
        <v>262</v>
      </c>
      <c r="B73" s="1">
        <v>11583</v>
      </c>
      <c r="C73" s="6">
        <v>3332</v>
      </c>
      <c r="D73" s="6">
        <v>839</v>
      </c>
      <c r="E73" s="6">
        <v>1677</v>
      </c>
      <c r="F73" s="6">
        <v>532603448</v>
      </c>
    </row>
    <row r="74" spans="1:8">
      <c r="A74" t="s">
        <v>263</v>
      </c>
      <c r="B74" s="1">
        <v>14605</v>
      </c>
      <c r="C74" s="6">
        <v>4202</v>
      </c>
      <c r="D74" s="6">
        <v>1058</v>
      </c>
      <c r="E74" s="6">
        <v>2115</v>
      </c>
      <c r="F74" s="6">
        <v>779462069</v>
      </c>
    </row>
    <row r="75" spans="1:8">
      <c r="A75" t="s">
        <v>264</v>
      </c>
      <c r="B75" s="1">
        <v>9308</v>
      </c>
      <c r="C75" s="6">
        <v>2678</v>
      </c>
      <c r="D75" s="6">
        <v>674</v>
      </c>
      <c r="E75" s="6">
        <v>1348</v>
      </c>
      <c r="F75" s="6">
        <v>1570510345</v>
      </c>
    </row>
    <row r="76" spans="1:8">
      <c r="A76" t="s">
        <v>265</v>
      </c>
      <c r="B76" s="1">
        <v>12315</v>
      </c>
      <c r="C76" s="6">
        <v>3543</v>
      </c>
      <c r="D76" s="6">
        <v>892</v>
      </c>
      <c r="E76" s="6">
        <v>1784</v>
      </c>
      <c r="F76" s="6">
        <v>960424138</v>
      </c>
    </row>
    <row r="77" spans="1:8">
      <c r="A77" t="s">
        <v>423</v>
      </c>
      <c r="B77" s="1">
        <v>12152</v>
      </c>
      <c r="C77" s="6">
        <v>3496</v>
      </c>
      <c r="D77" s="6">
        <v>880</v>
      </c>
      <c r="E77" s="6">
        <v>1760</v>
      </c>
      <c r="F77" s="6">
        <v>2147213793</v>
      </c>
    </row>
    <row r="78" spans="1:8">
      <c r="A78" t="s">
        <v>424</v>
      </c>
      <c r="B78" s="1">
        <v>16473</v>
      </c>
      <c r="C78" s="6">
        <v>4739</v>
      </c>
      <c r="D78" s="6">
        <v>1193</v>
      </c>
      <c r="E78" s="6">
        <v>2386</v>
      </c>
      <c r="F78" s="6">
        <v>1102210345</v>
      </c>
    </row>
    <row r="79" spans="1:8">
      <c r="A79" t="s">
        <v>425</v>
      </c>
      <c r="B79" s="1">
        <v>10439</v>
      </c>
      <c r="C79" s="6">
        <v>3003</v>
      </c>
      <c r="D79" s="6">
        <v>756</v>
      </c>
      <c r="E79" s="6">
        <v>1512</v>
      </c>
      <c r="F79" s="6">
        <v>715882759</v>
      </c>
    </row>
    <row r="80" spans="1:8">
      <c r="A80" t="s">
        <v>426</v>
      </c>
      <c r="B80" s="1">
        <v>8499</v>
      </c>
      <c r="C80" s="6">
        <v>2445</v>
      </c>
      <c r="D80" s="6">
        <v>615</v>
      </c>
      <c r="E80" s="6">
        <v>1231</v>
      </c>
      <c r="F80" s="6">
        <v>7314227586</v>
      </c>
    </row>
    <row r="81" spans="1:6">
      <c r="A81" t="s">
        <v>427</v>
      </c>
      <c r="B81" s="1">
        <v>10086</v>
      </c>
      <c r="C81" s="6">
        <v>2902</v>
      </c>
      <c r="D81" s="6">
        <v>730</v>
      </c>
      <c r="E81" s="6">
        <v>1461</v>
      </c>
      <c r="F81" s="6">
        <v>980917241</v>
      </c>
    </row>
    <row r="82" spans="1:6">
      <c r="A82" t="s">
        <v>428</v>
      </c>
      <c r="B82" s="1">
        <v>13575</v>
      </c>
      <c r="C82" s="6">
        <v>3905</v>
      </c>
      <c r="D82" s="6">
        <v>983</v>
      </c>
      <c r="E82" s="6">
        <v>1966</v>
      </c>
      <c r="F82" s="6">
        <v>478727586</v>
      </c>
    </row>
    <row r="83" spans="1:6">
      <c r="A83" t="s">
        <v>325</v>
      </c>
      <c r="B83" s="1">
        <v>13456</v>
      </c>
      <c r="C83" s="6">
        <v>3871</v>
      </c>
      <c r="D83" s="6">
        <v>974</v>
      </c>
      <c r="E83" s="6">
        <v>1949</v>
      </c>
      <c r="F83" s="6">
        <v>1002641379</v>
      </c>
    </row>
    <row r="84" spans="1:6">
      <c r="A84" t="s">
        <v>326</v>
      </c>
      <c r="B84" s="1">
        <v>10544</v>
      </c>
      <c r="C84" s="6">
        <v>3033</v>
      </c>
      <c r="D84" s="6">
        <v>764</v>
      </c>
      <c r="E84" s="6">
        <v>1527</v>
      </c>
      <c r="F84" s="6">
        <v>2613558621</v>
      </c>
    </row>
    <row r="85" spans="1:6">
      <c r="A85" t="s">
        <v>447</v>
      </c>
      <c r="B85" s="1">
        <v>11212</v>
      </c>
      <c r="C85" s="6">
        <v>3225</v>
      </c>
      <c r="D85" s="6">
        <v>812</v>
      </c>
      <c r="E85" s="6">
        <v>1624</v>
      </c>
      <c r="F85" s="6">
        <v>1785362069</v>
      </c>
    </row>
    <row r="86" spans="1:6">
      <c r="A86" t="s">
        <v>448</v>
      </c>
      <c r="B86" s="1">
        <v>11620</v>
      </c>
      <c r="C86" s="6">
        <v>3343</v>
      </c>
      <c r="D86" s="6">
        <v>841</v>
      </c>
      <c r="E86" s="6">
        <v>1683</v>
      </c>
      <c r="F86" s="6">
        <v>1188962069</v>
      </c>
    </row>
    <row r="87" spans="1:6">
      <c r="A87" t="s">
        <v>335</v>
      </c>
      <c r="B87" s="1">
        <v>11426</v>
      </c>
      <c r="C87" s="6">
        <v>3287</v>
      </c>
      <c r="D87" s="6">
        <v>827</v>
      </c>
      <c r="E87" s="6">
        <v>1655</v>
      </c>
      <c r="F87" s="6">
        <v>1241896552</v>
      </c>
    </row>
    <row r="88" spans="1:6">
      <c r="A88" t="s">
        <v>336</v>
      </c>
      <c r="B88" s="1">
        <v>12739</v>
      </c>
      <c r="C88" s="6">
        <v>3665</v>
      </c>
      <c r="D88" s="6">
        <v>922</v>
      </c>
      <c r="E88" s="6">
        <v>1845</v>
      </c>
      <c r="F88" s="6">
        <v>664179310</v>
      </c>
    </row>
    <row r="89" spans="1:6">
      <c r="A89" t="s">
        <v>337</v>
      </c>
      <c r="B89" s="1">
        <v>13416</v>
      </c>
      <c r="C89" s="6">
        <v>3860</v>
      </c>
      <c r="D89" s="6">
        <v>972</v>
      </c>
      <c r="E89" s="6">
        <v>1943</v>
      </c>
      <c r="F89" s="6">
        <v>1151234483</v>
      </c>
    </row>
    <row r="90" spans="1:6">
      <c r="A90" t="s">
        <v>338</v>
      </c>
      <c r="B90" s="1">
        <v>10736</v>
      </c>
      <c r="C90" s="6">
        <v>3089</v>
      </c>
      <c r="D90" s="6">
        <v>777</v>
      </c>
      <c r="E90" s="6">
        <v>1555</v>
      </c>
      <c r="F90" s="6">
        <v>615734483</v>
      </c>
    </row>
    <row r="91" spans="1:6">
      <c r="A91" t="s">
        <v>339</v>
      </c>
      <c r="B91" s="1">
        <v>11318</v>
      </c>
      <c r="C91" s="6">
        <v>3256</v>
      </c>
      <c r="D91" s="6">
        <v>820</v>
      </c>
      <c r="E91" s="6">
        <v>1639</v>
      </c>
      <c r="F91" s="6">
        <v>1208006897</v>
      </c>
    </row>
    <row r="92" spans="1:6">
      <c r="A92" t="s">
        <v>340</v>
      </c>
      <c r="B92" s="1">
        <v>10468</v>
      </c>
      <c r="C92" s="6">
        <v>3012</v>
      </c>
      <c r="D92" s="6">
        <v>758</v>
      </c>
      <c r="E92" s="6">
        <v>1516</v>
      </c>
      <c r="F92" s="6">
        <v>595820690</v>
      </c>
    </row>
    <row r="93" spans="1:6">
      <c r="A93" t="s">
        <v>341</v>
      </c>
      <c r="B93" s="1">
        <v>11048</v>
      </c>
      <c r="C93" s="6">
        <v>3178</v>
      </c>
      <c r="D93" s="6">
        <v>800</v>
      </c>
      <c r="E93" s="6">
        <v>1600</v>
      </c>
      <c r="F93" s="6">
        <v>800027586</v>
      </c>
    </row>
    <row r="94" spans="1:6">
      <c r="A94" t="s">
        <v>342</v>
      </c>
      <c r="B94" s="1">
        <v>10905</v>
      </c>
      <c r="C94" s="6">
        <v>3137</v>
      </c>
      <c r="D94" s="6">
        <v>790</v>
      </c>
      <c r="E94" s="6">
        <v>1579</v>
      </c>
      <c r="F94" s="6">
        <v>1562762069</v>
      </c>
    </row>
    <row r="95" spans="1:6">
      <c r="A95" t="s">
        <v>343</v>
      </c>
      <c r="B95" s="1">
        <v>11885</v>
      </c>
      <c r="C95" s="6">
        <v>3419</v>
      </c>
      <c r="D95" s="6">
        <v>861</v>
      </c>
      <c r="E95" s="6">
        <v>1721</v>
      </c>
      <c r="F95" s="6">
        <v>4147572414</v>
      </c>
    </row>
    <row r="96" spans="1:6">
      <c r="A96" t="s">
        <v>344</v>
      </c>
      <c r="B96" s="1">
        <v>10549</v>
      </c>
      <c r="C96" s="6">
        <v>3035</v>
      </c>
      <c r="D96" s="6">
        <v>764</v>
      </c>
      <c r="E96" s="6">
        <v>1528</v>
      </c>
      <c r="F96" s="6">
        <v>2361268966</v>
      </c>
    </row>
    <row r="97" spans="1:6">
      <c r="A97" t="s">
        <v>345</v>
      </c>
      <c r="B97" s="1">
        <v>11873</v>
      </c>
      <c r="C97" s="6">
        <v>3416</v>
      </c>
      <c r="D97" s="6">
        <v>860</v>
      </c>
      <c r="E97" s="6">
        <v>1720</v>
      </c>
      <c r="F97" s="6">
        <v>1494258621</v>
      </c>
    </row>
    <row r="98" spans="1:6">
      <c r="A98" t="s">
        <v>346</v>
      </c>
      <c r="B98" s="1">
        <v>10594</v>
      </c>
      <c r="C98" s="6">
        <v>3048</v>
      </c>
      <c r="D98" s="6">
        <v>767</v>
      </c>
      <c r="E98" s="6">
        <v>1534</v>
      </c>
      <c r="F98" s="6">
        <v>1315686207</v>
      </c>
    </row>
    <row r="99" spans="1:6">
      <c r="A99" t="s">
        <v>347</v>
      </c>
      <c r="B99" s="1">
        <v>11514</v>
      </c>
      <c r="C99" s="6">
        <v>3312</v>
      </c>
      <c r="D99" s="6">
        <v>834</v>
      </c>
      <c r="E99" s="6">
        <v>1668</v>
      </c>
      <c r="F99" s="6">
        <v>4879241379</v>
      </c>
    </row>
    <row r="100" spans="1:6">
      <c r="A100" t="s">
        <v>348</v>
      </c>
      <c r="B100" s="1">
        <v>8014</v>
      </c>
      <c r="C100" s="6">
        <v>2306</v>
      </c>
      <c r="D100" s="6">
        <v>580</v>
      </c>
      <c r="E100" s="6">
        <v>1161</v>
      </c>
      <c r="F100" s="6">
        <v>366196552</v>
      </c>
    </row>
  </sheetData>
  <phoneticPr fontId="3"/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JPods Summary</vt:lpstr>
      <vt:lpstr>CashFlow</vt:lpstr>
      <vt:lpstr>P&amp;L</vt:lpstr>
      <vt:lpstr>Balance</vt:lpstr>
      <vt:lpstr>System</vt:lpstr>
      <vt:lpstr>Truss</vt:lpstr>
      <vt:lpstr>PowrRail</vt:lpstr>
      <vt:lpstr>Footings</vt:lpstr>
      <vt:lpstr>Value of LMC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Trial User</dc:creator>
  <cp:lastModifiedBy>William James</cp:lastModifiedBy>
  <cp:lastPrinted>2005-10-07T17:22:41Z</cp:lastPrinted>
  <dcterms:created xsi:type="dcterms:W3CDTF">2004-07-30T11:39:36Z</dcterms:created>
  <dcterms:modified xsi:type="dcterms:W3CDTF">2016-06-17T18:53:38Z</dcterms:modified>
</cp:coreProperties>
</file>